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m/Desktop/"/>
    </mc:Choice>
  </mc:AlternateContent>
  <xr:revisionPtr revIDLastSave="0" documentId="13_ncr:1_{B2364222-209C-E644-9154-39D1B03593E5}" xr6:coauthVersionLast="47" xr6:coauthVersionMax="47" xr10:uidLastSave="{00000000-0000-0000-0000-000000000000}"/>
  <bookViews>
    <workbookView xWindow="1820" yWindow="500" windowWidth="24720" windowHeight="17000" xr2:uid="{FB22DA17-5D9C-E24E-BD10-13F0A34B8261}"/>
  </bookViews>
  <sheets>
    <sheet name="SPIRITS SHEET" sheetId="2" r:id="rId1"/>
    <sheet name="PMIX IMPACT WORKSHEET" sheetId="1" r:id="rId2"/>
    <sheet name="EXAMPLE 1" sheetId="5" r:id="rId3"/>
    <sheet name="EXAMPLE 2" sheetId="4" r:id="rId4"/>
    <sheet name="EXAMPLE 3" sheetId="3" r:id="rId5"/>
    <sheet name="EXAMPLE 4" sheetId="6" r:id="rId6"/>
    <sheet name="EXAMPLE 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" l="1"/>
  <c r="J14" i="7"/>
  <c r="I14" i="7"/>
  <c r="H14" i="7"/>
  <c r="G14" i="7"/>
  <c r="J13" i="7"/>
  <c r="I13" i="7"/>
  <c r="G13" i="7"/>
  <c r="H13" i="7" s="1"/>
  <c r="J12" i="7"/>
  <c r="I12" i="7"/>
  <c r="G12" i="7"/>
  <c r="H12" i="7" s="1"/>
  <c r="J11" i="7"/>
  <c r="I11" i="7"/>
  <c r="G11" i="7"/>
  <c r="H11" i="7" s="1"/>
  <c r="J10" i="7"/>
  <c r="I10" i="7"/>
  <c r="G10" i="7"/>
  <c r="H10" i="7" s="1"/>
  <c r="J9" i="7"/>
  <c r="I9" i="7"/>
  <c r="G9" i="7"/>
  <c r="H9" i="7" s="1"/>
  <c r="J8" i="7"/>
  <c r="I8" i="7"/>
  <c r="G8" i="7"/>
  <c r="H8" i="7" s="1"/>
  <c r="K7" i="7"/>
  <c r="J7" i="7"/>
  <c r="I7" i="7"/>
  <c r="G7" i="7"/>
  <c r="H7" i="7" s="1"/>
  <c r="J6" i="7"/>
  <c r="I6" i="7"/>
  <c r="H6" i="7"/>
  <c r="G6" i="7"/>
  <c r="J5" i="7"/>
  <c r="K5" i="7" s="1"/>
  <c r="I5" i="7"/>
  <c r="G5" i="7"/>
  <c r="H5" i="7" s="1"/>
  <c r="D15" i="6"/>
  <c r="J14" i="6"/>
  <c r="I14" i="6"/>
  <c r="G14" i="6"/>
  <c r="H14" i="6" s="1"/>
  <c r="J13" i="6"/>
  <c r="I13" i="6"/>
  <c r="G13" i="6"/>
  <c r="H13" i="6" s="1"/>
  <c r="J12" i="6"/>
  <c r="I12" i="6"/>
  <c r="G12" i="6"/>
  <c r="H12" i="6" s="1"/>
  <c r="J11" i="6"/>
  <c r="I11" i="6"/>
  <c r="G11" i="6"/>
  <c r="H11" i="6" s="1"/>
  <c r="J10" i="6"/>
  <c r="I10" i="6"/>
  <c r="G10" i="6"/>
  <c r="H10" i="6" s="1"/>
  <c r="J9" i="6"/>
  <c r="I9" i="6"/>
  <c r="G9" i="6"/>
  <c r="H9" i="6" s="1"/>
  <c r="J8" i="6"/>
  <c r="I8" i="6"/>
  <c r="G8" i="6"/>
  <c r="H8" i="6" s="1"/>
  <c r="K7" i="6"/>
  <c r="J7" i="6"/>
  <c r="I7" i="6"/>
  <c r="G7" i="6"/>
  <c r="H7" i="6" s="1"/>
  <c r="J6" i="6"/>
  <c r="I6" i="6"/>
  <c r="G6" i="6"/>
  <c r="H6" i="6" s="1"/>
  <c r="J5" i="6"/>
  <c r="K5" i="6" s="1"/>
  <c r="I5" i="6"/>
  <c r="G5" i="6"/>
  <c r="H5" i="6" s="1"/>
  <c r="D15" i="5"/>
  <c r="J14" i="5"/>
  <c r="I14" i="5"/>
  <c r="G14" i="5"/>
  <c r="H14" i="5" s="1"/>
  <c r="J13" i="5"/>
  <c r="I13" i="5"/>
  <c r="G13" i="5"/>
  <c r="H13" i="5" s="1"/>
  <c r="J12" i="5"/>
  <c r="I12" i="5"/>
  <c r="G12" i="5"/>
  <c r="H12" i="5" s="1"/>
  <c r="J11" i="5"/>
  <c r="I11" i="5"/>
  <c r="G11" i="5"/>
  <c r="H11" i="5" s="1"/>
  <c r="J10" i="5"/>
  <c r="I10" i="5"/>
  <c r="G10" i="5"/>
  <c r="H10" i="5" s="1"/>
  <c r="J9" i="5"/>
  <c r="I9" i="5"/>
  <c r="G9" i="5"/>
  <c r="H9" i="5" s="1"/>
  <c r="J8" i="5"/>
  <c r="I8" i="5"/>
  <c r="G8" i="5"/>
  <c r="H8" i="5" s="1"/>
  <c r="K7" i="5"/>
  <c r="J7" i="5"/>
  <c r="I7" i="5"/>
  <c r="G7" i="5"/>
  <c r="H7" i="5" s="1"/>
  <c r="J6" i="5"/>
  <c r="I6" i="5"/>
  <c r="G6" i="5"/>
  <c r="H6" i="5" s="1"/>
  <c r="J5" i="5"/>
  <c r="K5" i="5" s="1"/>
  <c r="I5" i="5"/>
  <c r="G5" i="5"/>
  <c r="H5" i="5" s="1"/>
  <c r="D15" i="4"/>
  <c r="J5" i="4"/>
  <c r="I5" i="4"/>
  <c r="G5" i="4"/>
  <c r="H5" i="4" s="1"/>
  <c r="J6" i="4"/>
  <c r="I6" i="4"/>
  <c r="G6" i="4"/>
  <c r="H6" i="4" s="1"/>
  <c r="J7" i="4"/>
  <c r="I7" i="4"/>
  <c r="G7" i="4"/>
  <c r="H7" i="4" s="1"/>
  <c r="J8" i="4"/>
  <c r="I8" i="4"/>
  <c r="G8" i="4"/>
  <c r="H8" i="4" s="1"/>
  <c r="J9" i="4"/>
  <c r="I9" i="4"/>
  <c r="G9" i="4"/>
  <c r="H9" i="4" s="1"/>
  <c r="J10" i="4"/>
  <c r="I10" i="4"/>
  <c r="G10" i="4"/>
  <c r="H10" i="4" s="1"/>
  <c r="J11" i="4"/>
  <c r="I11" i="4"/>
  <c r="G11" i="4"/>
  <c r="H11" i="4" s="1"/>
  <c r="J12" i="4"/>
  <c r="I12" i="4"/>
  <c r="G12" i="4"/>
  <c r="H12" i="4" s="1"/>
  <c r="J13" i="4"/>
  <c r="I13" i="4"/>
  <c r="G13" i="4"/>
  <c r="H13" i="4" s="1"/>
  <c r="J14" i="4"/>
  <c r="I14" i="4"/>
  <c r="G14" i="4"/>
  <c r="H14" i="4" s="1"/>
  <c r="D15" i="3"/>
  <c r="J14" i="3"/>
  <c r="I14" i="3"/>
  <c r="G14" i="3"/>
  <c r="H14" i="3" s="1"/>
  <c r="J13" i="3"/>
  <c r="I13" i="3"/>
  <c r="G13" i="3"/>
  <c r="H13" i="3" s="1"/>
  <c r="J12" i="3"/>
  <c r="I12" i="3"/>
  <c r="G12" i="3"/>
  <c r="H12" i="3" s="1"/>
  <c r="J11" i="3"/>
  <c r="I11" i="3"/>
  <c r="G11" i="3"/>
  <c r="H11" i="3" s="1"/>
  <c r="J10" i="3"/>
  <c r="I10" i="3"/>
  <c r="K10" i="3" s="1"/>
  <c r="G10" i="3"/>
  <c r="H10" i="3" s="1"/>
  <c r="J9" i="3"/>
  <c r="I9" i="3"/>
  <c r="G9" i="3"/>
  <c r="H9" i="3" s="1"/>
  <c r="J8" i="3"/>
  <c r="I8" i="3"/>
  <c r="G8" i="3"/>
  <c r="H8" i="3" s="1"/>
  <c r="J7" i="3"/>
  <c r="K7" i="3" s="1"/>
  <c r="I7" i="3"/>
  <c r="G7" i="3"/>
  <c r="H7" i="3" s="1"/>
  <c r="J6" i="3"/>
  <c r="I6" i="3"/>
  <c r="G6" i="3"/>
  <c r="H6" i="3" s="1"/>
  <c r="J5" i="3"/>
  <c r="I5" i="3"/>
  <c r="G5" i="3"/>
  <c r="H5" i="3" s="1"/>
  <c r="J5" i="1"/>
  <c r="J6" i="1"/>
  <c r="J7" i="1"/>
  <c r="J8" i="1"/>
  <c r="J9" i="1"/>
  <c r="J10" i="1"/>
  <c r="J11" i="1"/>
  <c r="J12" i="1"/>
  <c r="J13" i="1"/>
  <c r="J14" i="1"/>
  <c r="I5" i="1"/>
  <c r="I6" i="1"/>
  <c r="I7" i="1"/>
  <c r="I8" i="1"/>
  <c r="I9" i="1"/>
  <c r="I10" i="1"/>
  <c r="I11" i="1"/>
  <c r="I12" i="1"/>
  <c r="I13" i="1"/>
  <c r="I14" i="1"/>
  <c r="D15" i="1"/>
  <c r="G67" i="2"/>
  <c r="H67" i="2" s="1"/>
  <c r="J67" i="2" s="1"/>
  <c r="L67" i="2"/>
  <c r="G68" i="2"/>
  <c r="H68" i="2" s="1"/>
  <c r="J68" i="2" s="1"/>
  <c r="L68" i="2"/>
  <c r="G69" i="2"/>
  <c r="H69" i="2" s="1"/>
  <c r="J69" i="2" s="1"/>
  <c r="L69" i="2"/>
  <c r="G70" i="2"/>
  <c r="H70" i="2" s="1"/>
  <c r="J70" i="2" s="1"/>
  <c r="L70" i="2"/>
  <c r="G62" i="2"/>
  <c r="H62" i="2" s="1"/>
  <c r="J62" i="2" s="1"/>
  <c r="L62" i="2"/>
  <c r="G63" i="2"/>
  <c r="H63" i="2" s="1"/>
  <c r="J63" i="2" s="1"/>
  <c r="L63" i="2"/>
  <c r="G59" i="2"/>
  <c r="H59" i="2" s="1"/>
  <c r="J59" i="2" s="1"/>
  <c r="L59" i="2"/>
  <c r="G33" i="2"/>
  <c r="H33" i="2" s="1"/>
  <c r="J33" i="2" s="1"/>
  <c r="L33" i="2"/>
  <c r="G34" i="2"/>
  <c r="H34" i="2" s="1"/>
  <c r="J34" i="2" s="1"/>
  <c r="L34" i="2"/>
  <c r="G35" i="2"/>
  <c r="H35" i="2" s="1"/>
  <c r="J35" i="2" s="1"/>
  <c r="L35" i="2"/>
  <c r="G36" i="2"/>
  <c r="H36" i="2" s="1"/>
  <c r="J36" i="2" s="1"/>
  <c r="L36" i="2"/>
  <c r="G37" i="2"/>
  <c r="H37" i="2" s="1"/>
  <c r="J37" i="2" s="1"/>
  <c r="L37" i="2"/>
  <c r="G38" i="2"/>
  <c r="H38" i="2" s="1"/>
  <c r="J38" i="2" s="1"/>
  <c r="L38" i="2"/>
  <c r="G40" i="2"/>
  <c r="H40" i="2" s="1"/>
  <c r="J40" i="2" s="1"/>
  <c r="L40" i="2"/>
  <c r="G41" i="2"/>
  <c r="H41" i="2" s="1"/>
  <c r="J41" i="2" s="1"/>
  <c r="L41" i="2"/>
  <c r="G44" i="2"/>
  <c r="H44" i="2" s="1"/>
  <c r="J44" i="2" s="1"/>
  <c r="L44" i="2"/>
  <c r="G45" i="2"/>
  <c r="H45" i="2" s="1"/>
  <c r="J45" i="2" s="1"/>
  <c r="L45" i="2"/>
  <c r="G42" i="2"/>
  <c r="H42" i="2" s="1"/>
  <c r="J42" i="2" s="1"/>
  <c r="L42" i="2"/>
  <c r="G43" i="2"/>
  <c r="H43" i="2" s="1"/>
  <c r="J43" i="2" s="1"/>
  <c r="L43" i="2"/>
  <c r="G30" i="2"/>
  <c r="H30" i="2" s="1"/>
  <c r="J30" i="2" s="1"/>
  <c r="L30" i="2"/>
  <c r="G31" i="2"/>
  <c r="H31" i="2" s="1"/>
  <c r="J31" i="2" s="1"/>
  <c r="L31" i="2"/>
  <c r="G32" i="2"/>
  <c r="H32" i="2" s="1"/>
  <c r="J32" i="2" s="1"/>
  <c r="L32" i="2"/>
  <c r="G24" i="2"/>
  <c r="H24" i="2" s="1"/>
  <c r="J24" i="2" s="1"/>
  <c r="L24" i="2"/>
  <c r="G25" i="2"/>
  <c r="H25" i="2" s="1"/>
  <c r="J25" i="2" s="1"/>
  <c r="L25" i="2"/>
  <c r="G26" i="2"/>
  <c r="H26" i="2" s="1"/>
  <c r="J26" i="2" s="1"/>
  <c r="L26" i="2"/>
  <c r="G17" i="2"/>
  <c r="H17" i="2" s="1"/>
  <c r="J17" i="2" s="1"/>
  <c r="L17" i="2"/>
  <c r="G18" i="2"/>
  <c r="H18" i="2" s="1"/>
  <c r="J18" i="2" s="1"/>
  <c r="L18" i="2"/>
  <c r="G19" i="2"/>
  <c r="H19" i="2" s="1"/>
  <c r="J19" i="2" s="1"/>
  <c r="L19" i="2"/>
  <c r="G12" i="2"/>
  <c r="H12" i="2" s="1"/>
  <c r="J12" i="2" s="1"/>
  <c r="L12" i="2"/>
  <c r="G13" i="2"/>
  <c r="H13" i="2" s="1"/>
  <c r="J13" i="2" s="1"/>
  <c r="L13" i="2"/>
  <c r="G14" i="2"/>
  <c r="H14" i="2" s="1"/>
  <c r="J14" i="2" s="1"/>
  <c r="L14" i="2"/>
  <c r="G7" i="2"/>
  <c r="H7" i="2" s="1"/>
  <c r="J7" i="2" s="1"/>
  <c r="L7" i="2"/>
  <c r="G8" i="2"/>
  <c r="H8" i="2" s="1"/>
  <c r="J8" i="2" s="1"/>
  <c r="L8" i="2"/>
  <c r="G9" i="2"/>
  <c r="H9" i="2" s="1"/>
  <c r="J9" i="2" s="1"/>
  <c r="L9" i="2"/>
  <c r="G95" i="2"/>
  <c r="H95" i="2" s="1"/>
  <c r="J95" i="2" s="1"/>
  <c r="L95" i="2"/>
  <c r="G96" i="2"/>
  <c r="H96" i="2" s="1"/>
  <c r="J96" i="2" s="1"/>
  <c r="L96" i="2"/>
  <c r="G97" i="2"/>
  <c r="H97" i="2" s="1"/>
  <c r="J97" i="2" s="1"/>
  <c r="L97" i="2"/>
  <c r="G98" i="2"/>
  <c r="H98" i="2" s="1"/>
  <c r="J98" i="2" s="1"/>
  <c r="L98" i="2"/>
  <c r="G99" i="2"/>
  <c r="H99" i="2" s="1"/>
  <c r="J99" i="2" s="1"/>
  <c r="L99" i="2"/>
  <c r="G100" i="2"/>
  <c r="H100" i="2" s="1"/>
  <c r="J100" i="2" s="1"/>
  <c r="L100" i="2"/>
  <c r="G6" i="2"/>
  <c r="H6" i="2" s="1"/>
  <c r="J6" i="2" s="1"/>
  <c r="L6" i="2"/>
  <c r="G4" i="2"/>
  <c r="H4" i="2" s="1"/>
  <c r="J4" i="2" s="1"/>
  <c r="L4" i="2"/>
  <c r="L107" i="2"/>
  <c r="G107" i="2"/>
  <c r="H107" i="2" s="1"/>
  <c r="J107" i="2" s="1"/>
  <c r="L106" i="2"/>
  <c r="G106" i="2"/>
  <c r="H106" i="2" s="1"/>
  <c r="J106" i="2" s="1"/>
  <c r="L105" i="2"/>
  <c r="G105" i="2"/>
  <c r="H105" i="2" s="1"/>
  <c r="J105" i="2" s="1"/>
  <c r="L104" i="2"/>
  <c r="G104" i="2"/>
  <c r="H104" i="2" s="1"/>
  <c r="J104" i="2" s="1"/>
  <c r="L103" i="2"/>
  <c r="G103" i="2"/>
  <c r="H103" i="2" s="1"/>
  <c r="J103" i="2" s="1"/>
  <c r="L102" i="2"/>
  <c r="G102" i="2"/>
  <c r="H102" i="2" s="1"/>
  <c r="J102" i="2" s="1"/>
  <c r="L101" i="2"/>
  <c r="G101" i="2"/>
  <c r="H101" i="2" s="1"/>
  <c r="J101" i="2" s="1"/>
  <c r="L94" i="2"/>
  <c r="G94" i="2"/>
  <c r="H94" i="2" s="1"/>
  <c r="J94" i="2" s="1"/>
  <c r="L93" i="2"/>
  <c r="G93" i="2"/>
  <c r="H93" i="2" s="1"/>
  <c r="J93" i="2" s="1"/>
  <c r="L92" i="2"/>
  <c r="G92" i="2"/>
  <c r="H92" i="2" s="1"/>
  <c r="J92" i="2" s="1"/>
  <c r="L91" i="2"/>
  <c r="G91" i="2"/>
  <c r="H91" i="2" s="1"/>
  <c r="J91" i="2" s="1"/>
  <c r="L90" i="2"/>
  <c r="G90" i="2"/>
  <c r="H90" i="2" s="1"/>
  <c r="J90" i="2" s="1"/>
  <c r="L87" i="2"/>
  <c r="G87" i="2"/>
  <c r="H87" i="2" s="1"/>
  <c r="J87" i="2" s="1"/>
  <c r="L86" i="2"/>
  <c r="G86" i="2"/>
  <c r="H86" i="2" s="1"/>
  <c r="J86" i="2" s="1"/>
  <c r="L89" i="2"/>
  <c r="G89" i="2"/>
  <c r="H89" i="2" s="1"/>
  <c r="J89" i="2" s="1"/>
  <c r="L88" i="2"/>
  <c r="G88" i="2"/>
  <c r="H88" i="2" s="1"/>
  <c r="J88" i="2" s="1"/>
  <c r="L85" i="2"/>
  <c r="G85" i="2"/>
  <c r="H85" i="2" s="1"/>
  <c r="J85" i="2" s="1"/>
  <c r="L84" i="2"/>
  <c r="G84" i="2"/>
  <c r="H84" i="2" s="1"/>
  <c r="J84" i="2" s="1"/>
  <c r="L83" i="2"/>
  <c r="G83" i="2"/>
  <c r="H83" i="2" s="1"/>
  <c r="J83" i="2" s="1"/>
  <c r="L82" i="2"/>
  <c r="G82" i="2"/>
  <c r="H82" i="2" s="1"/>
  <c r="J82" i="2" s="1"/>
  <c r="L81" i="2"/>
  <c r="G81" i="2"/>
  <c r="H81" i="2" s="1"/>
  <c r="J81" i="2" s="1"/>
  <c r="L80" i="2"/>
  <c r="G80" i="2"/>
  <c r="H80" i="2" s="1"/>
  <c r="J80" i="2" s="1"/>
  <c r="L79" i="2"/>
  <c r="G79" i="2"/>
  <c r="H79" i="2" s="1"/>
  <c r="J79" i="2" s="1"/>
  <c r="L78" i="2"/>
  <c r="G78" i="2"/>
  <c r="H78" i="2" s="1"/>
  <c r="J78" i="2" s="1"/>
  <c r="L77" i="2"/>
  <c r="G77" i="2"/>
  <c r="H77" i="2" s="1"/>
  <c r="J77" i="2" s="1"/>
  <c r="L76" i="2"/>
  <c r="G76" i="2"/>
  <c r="H76" i="2" s="1"/>
  <c r="J76" i="2" s="1"/>
  <c r="L75" i="2"/>
  <c r="G75" i="2"/>
  <c r="H75" i="2" s="1"/>
  <c r="J75" i="2" s="1"/>
  <c r="L74" i="2"/>
  <c r="G74" i="2"/>
  <c r="H74" i="2" s="1"/>
  <c r="J74" i="2" s="1"/>
  <c r="L71" i="2"/>
  <c r="G71" i="2"/>
  <c r="H71" i="2" s="1"/>
  <c r="J71" i="2" s="1"/>
  <c r="L73" i="2"/>
  <c r="G73" i="2"/>
  <c r="H73" i="2" s="1"/>
  <c r="J73" i="2" s="1"/>
  <c r="L72" i="2"/>
  <c r="G72" i="2"/>
  <c r="H72" i="2" s="1"/>
  <c r="J72" i="2" s="1"/>
  <c r="L65" i="2"/>
  <c r="G65" i="2"/>
  <c r="H65" i="2" s="1"/>
  <c r="J65" i="2" s="1"/>
  <c r="L66" i="2"/>
  <c r="G66" i="2"/>
  <c r="H66" i="2" s="1"/>
  <c r="J66" i="2" s="1"/>
  <c r="L64" i="2"/>
  <c r="G64" i="2"/>
  <c r="H64" i="2" s="1"/>
  <c r="J64" i="2" s="1"/>
  <c r="L61" i="2"/>
  <c r="G61" i="2"/>
  <c r="H61" i="2" s="1"/>
  <c r="J61" i="2" s="1"/>
  <c r="L60" i="2"/>
  <c r="G60" i="2"/>
  <c r="H60" i="2" s="1"/>
  <c r="J60" i="2" s="1"/>
  <c r="L58" i="2"/>
  <c r="G58" i="2"/>
  <c r="H58" i="2" s="1"/>
  <c r="J58" i="2" s="1"/>
  <c r="L57" i="2"/>
  <c r="G57" i="2"/>
  <c r="H57" i="2" s="1"/>
  <c r="J57" i="2" s="1"/>
  <c r="L56" i="2"/>
  <c r="G56" i="2"/>
  <c r="H56" i="2" s="1"/>
  <c r="J56" i="2" s="1"/>
  <c r="L55" i="2"/>
  <c r="G55" i="2"/>
  <c r="H55" i="2" s="1"/>
  <c r="J55" i="2" s="1"/>
  <c r="L54" i="2"/>
  <c r="G54" i="2"/>
  <c r="H54" i="2" s="1"/>
  <c r="J54" i="2" s="1"/>
  <c r="L53" i="2"/>
  <c r="G53" i="2"/>
  <c r="H53" i="2" s="1"/>
  <c r="J53" i="2" s="1"/>
  <c r="L52" i="2"/>
  <c r="G52" i="2"/>
  <c r="H52" i="2" s="1"/>
  <c r="J52" i="2" s="1"/>
  <c r="L51" i="2"/>
  <c r="G51" i="2"/>
  <c r="H51" i="2" s="1"/>
  <c r="J51" i="2" s="1"/>
  <c r="L50" i="2"/>
  <c r="G50" i="2"/>
  <c r="H50" i="2" s="1"/>
  <c r="J50" i="2" s="1"/>
  <c r="L49" i="2"/>
  <c r="G49" i="2"/>
  <c r="H49" i="2" s="1"/>
  <c r="J49" i="2" s="1"/>
  <c r="L48" i="2"/>
  <c r="G48" i="2"/>
  <c r="H48" i="2" s="1"/>
  <c r="J48" i="2" s="1"/>
  <c r="L47" i="2"/>
  <c r="G47" i="2"/>
  <c r="H47" i="2" s="1"/>
  <c r="J47" i="2" s="1"/>
  <c r="L46" i="2"/>
  <c r="G46" i="2"/>
  <c r="H46" i="2" s="1"/>
  <c r="J46" i="2" s="1"/>
  <c r="L39" i="2"/>
  <c r="G39" i="2"/>
  <c r="H39" i="2" s="1"/>
  <c r="J39" i="2" s="1"/>
  <c r="L28" i="2"/>
  <c r="G28" i="2"/>
  <c r="H28" i="2" s="1"/>
  <c r="J28" i="2" s="1"/>
  <c r="L27" i="2"/>
  <c r="G27" i="2"/>
  <c r="H27" i="2" s="1"/>
  <c r="J27" i="2" s="1"/>
  <c r="L29" i="2"/>
  <c r="G29" i="2"/>
  <c r="H29" i="2" s="1"/>
  <c r="J29" i="2" s="1"/>
  <c r="L23" i="2"/>
  <c r="G23" i="2"/>
  <c r="H23" i="2" s="1"/>
  <c r="J23" i="2" s="1"/>
  <c r="L22" i="2"/>
  <c r="G22" i="2"/>
  <c r="H22" i="2" s="1"/>
  <c r="J22" i="2" s="1"/>
  <c r="L21" i="2"/>
  <c r="G21" i="2"/>
  <c r="H21" i="2" s="1"/>
  <c r="J21" i="2" s="1"/>
  <c r="L20" i="2"/>
  <c r="G20" i="2"/>
  <c r="H20" i="2" s="1"/>
  <c r="J20" i="2" s="1"/>
  <c r="L16" i="2"/>
  <c r="G16" i="2"/>
  <c r="H16" i="2" s="1"/>
  <c r="J16" i="2" s="1"/>
  <c r="L15" i="2"/>
  <c r="G15" i="2"/>
  <c r="H15" i="2" s="1"/>
  <c r="J15" i="2" s="1"/>
  <c r="L11" i="2"/>
  <c r="G11" i="2"/>
  <c r="H11" i="2" s="1"/>
  <c r="J11" i="2" s="1"/>
  <c r="L10" i="2"/>
  <c r="G10" i="2"/>
  <c r="H10" i="2" s="1"/>
  <c r="J10" i="2" s="1"/>
  <c r="L5" i="2"/>
  <c r="G5" i="2"/>
  <c r="H5" i="2" s="1"/>
  <c r="J5" i="2" s="1"/>
  <c r="L3" i="2"/>
  <c r="G3" i="2"/>
  <c r="H3" i="2" s="1"/>
  <c r="J3" i="2" s="1"/>
  <c r="L2" i="2"/>
  <c r="G2" i="2"/>
  <c r="H2" i="2" s="1"/>
  <c r="J2" i="2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K13" i="7" l="1"/>
  <c r="K6" i="7"/>
  <c r="K16" i="7" s="1"/>
  <c r="K8" i="7"/>
  <c r="K11" i="7"/>
  <c r="K14" i="7"/>
  <c r="K10" i="7"/>
  <c r="K9" i="7"/>
  <c r="K12" i="7"/>
  <c r="H15" i="7"/>
  <c r="G16" i="7" s="1"/>
  <c r="K14" i="6"/>
  <c r="K13" i="6"/>
  <c r="K12" i="6"/>
  <c r="K11" i="6"/>
  <c r="K10" i="6"/>
  <c r="K9" i="6"/>
  <c r="K8" i="6"/>
  <c r="K6" i="6"/>
  <c r="K16" i="6" s="1"/>
  <c r="H15" i="6"/>
  <c r="G16" i="6" s="1"/>
  <c r="K6" i="5"/>
  <c r="K11" i="5"/>
  <c r="K12" i="1"/>
  <c r="K6" i="1"/>
  <c r="K13" i="3"/>
  <c r="K8" i="3"/>
  <c r="K12" i="5"/>
  <c r="K13" i="5"/>
  <c r="K14" i="5"/>
  <c r="K10" i="5"/>
  <c r="K9" i="5"/>
  <c r="K8" i="5"/>
  <c r="K7" i="1"/>
  <c r="K11" i="1"/>
  <c r="K13" i="1"/>
  <c r="K14" i="1"/>
  <c r="H15" i="5"/>
  <c r="G16" i="5" s="1"/>
  <c r="K12" i="4"/>
  <c r="K10" i="4"/>
  <c r="K14" i="4"/>
  <c r="K9" i="4"/>
  <c r="K11" i="4"/>
  <c r="K13" i="4"/>
  <c r="K8" i="4"/>
  <c r="K5" i="4"/>
  <c r="K6" i="4"/>
  <c r="K7" i="4"/>
  <c r="K10" i="1"/>
  <c r="K9" i="1"/>
  <c r="K8" i="1"/>
  <c r="K5" i="1"/>
  <c r="K12" i="3"/>
  <c r="K11" i="3"/>
  <c r="K9" i="3"/>
  <c r="K6" i="3"/>
  <c r="K5" i="3"/>
  <c r="K14" i="3"/>
  <c r="H15" i="4"/>
  <c r="G16" i="4" s="1"/>
  <c r="H15" i="3"/>
  <c r="G16" i="3" s="1"/>
  <c r="H15" i="1"/>
  <c r="G16" i="1" s="1"/>
  <c r="K16" i="1" l="1"/>
  <c r="K16" i="5"/>
  <c r="K16" i="3"/>
  <c r="K16" i="4"/>
</calcChain>
</file>

<file path=xl/sharedStrings.xml><?xml version="1.0" encoding="utf-8"?>
<sst xmlns="http://schemas.openxmlformats.org/spreadsheetml/2006/main" count="283" uniqueCount="108">
  <si>
    <t>Pmix Position</t>
  </si>
  <si>
    <t>Cocktail Name</t>
  </si>
  <si>
    <t>Quantity Sold</t>
  </si>
  <si>
    <t>Cost</t>
  </si>
  <si>
    <t>Price</t>
  </si>
  <si>
    <t>COGs%</t>
  </si>
  <si>
    <t>Pmix Impact Worksheet</t>
  </si>
  <si>
    <t>The Vodka One</t>
  </si>
  <si>
    <t>The Tequila One</t>
  </si>
  <si>
    <t>The Spritz</t>
  </si>
  <si>
    <t>The Mezcal One</t>
  </si>
  <si>
    <t>The Rum One</t>
  </si>
  <si>
    <t>The Gin One</t>
  </si>
  <si>
    <t>The Bourbon One</t>
  </si>
  <si>
    <t>The Rye One</t>
  </si>
  <si>
    <t>The Other Tequila One</t>
  </si>
  <si>
    <t>The Bitter One</t>
  </si>
  <si>
    <t>CATEGORY</t>
  </si>
  <si>
    <t>DESCRIPTION</t>
  </si>
  <si>
    <t>BOT COST</t>
  </si>
  <si>
    <t>BEST PRICE CASE QTY</t>
  </si>
  <si>
    <t>MENU PRICE</t>
  </si>
  <si>
    <t>ORDER QUANTITY</t>
  </si>
  <si>
    <t>ORDER TOTAL</t>
  </si>
  <si>
    <t>Notes</t>
  </si>
  <si>
    <t>Column1</t>
  </si>
  <si>
    <t>ABSINTHE/PASTIS</t>
  </si>
  <si>
    <t>AMARO</t>
  </si>
  <si>
    <t>Averna</t>
  </si>
  <si>
    <t>6 pk</t>
  </si>
  <si>
    <t>Braulio</t>
  </si>
  <si>
    <t>Cynar</t>
  </si>
  <si>
    <t>3 btl</t>
  </si>
  <si>
    <t>APERITIF/DIGESTIF</t>
  </si>
  <si>
    <t>Aperol</t>
  </si>
  <si>
    <t>4 cs (6 pk)</t>
  </si>
  <si>
    <t>Campari</t>
  </si>
  <si>
    <t>AROMATISED</t>
  </si>
  <si>
    <t>BEV SUPPLIES</t>
  </si>
  <si>
    <t>Fever Ginger Beer</t>
  </si>
  <si>
    <t>Fever Tree Club Soda</t>
  </si>
  <si>
    <t>20 cs mix</t>
  </si>
  <si>
    <t>Fever Tree Light Ginger Beer 200ml 24 pk. Can?</t>
  </si>
  <si>
    <t>Fever Tree Mediterranean Tonic 200ml 24 pk. Can?</t>
  </si>
  <si>
    <t>BITTERS</t>
  </si>
  <si>
    <t>Angostura Lg. Bottle</t>
  </si>
  <si>
    <t>Peychaud Lg. Bottle</t>
  </si>
  <si>
    <t>Regan's Orange Bitters</t>
  </si>
  <si>
    <t>BRANDY</t>
  </si>
  <si>
    <t>BRANDY ARMAGNAC</t>
  </si>
  <si>
    <t>BRANDY CALVADOS</t>
  </si>
  <si>
    <t>BRANDY COGNAC</t>
  </si>
  <si>
    <t>BRANDY PISCO</t>
  </si>
  <si>
    <t>CORDIALS</t>
  </si>
  <si>
    <t>Frangelico</t>
  </si>
  <si>
    <t>Grand Marnier</t>
  </si>
  <si>
    <t>GIN</t>
  </si>
  <si>
    <t>MEZCAL</t>
  </si>
  <si>
    <t>Montelobos Espadin</t>
  </si>
  <si>
    <t>Montelobos Pechuga</t>
  </si>
  <si>
    <t>Old Smuggler Blended Scotch</t>
  </si>
  <si>
    <t>RUM/RHUM/CACHAÇA</t>
  </si>
  <si>
    <t>Appleton Estate Signature Blend</t>
  </si>
  <si>
    <t>Appleton Estate 21 Year</t>
  </si>
  <si>
    <t>TEQUILA</t>
  </si>
  <si>
    <t>Espolon Blanco</t>
  </si>
  <si>
    <t>VODKA</t>
  </si>
  <si>
    <t>2 cs</t>
  </si>
  <si>
    <t>18 bottles</t>
  </si>
  <si>
    <t>2 case</t>
  </si>
  <si>
    <t>WHISKEY</t>
  </si>
  <si>
    <t>WHISKEY BOURBON</t>
  </si>
  <si>
    <t>Russels Reserve Single Barrel Bourbon</t>
  </si>
  <si>
    <t>Russels Reserve 10 yr. Bourbon</t>
  </si>
  <si>
    <t>Wild Turkey 101 Bourbon 1000</t>
  </si>
  <si>
    <t>Wild Turkey Rare Breed Bourbon</t>
  </si>
  <si>
    <t>WHISKEY IRISH</t>
  </si>
  <si>
    <t>WHISKEY RYE</t>
  </si>
  <si>
    <t>Russels Reserve 6 yr. Rye</t>
  </si>
  <si>
    <t>Russels Reserve 13 yr. Rye</t>
  </si>
  <si>
    <t>Russels Reserve Single Barrel Rye</t>
  </si>
  <si>
    <t>WHISKY JAPANESE</t>
  </si>
  <si>
    <t>WHISKY SCOTCH</t>
  </si>
  <si>
    <t>Cinzano Dry</t>
  </si>
  <si>
    <t>Cinzano Rosso</t>
  </si>
  <si>
    <t>Courvoisier</t>
  </si>
  <si>
    <t>Bulldog Gin</t>
  </si>
  <si>
    <t>Espolon Reposado</t>
  </si>
  <si>
    <t>Espolon Añejo</t>
  </si>
  <si>
    <t>SKYY</t>
  </si>
  <si>
    <t>TOTAL</t>
  </si>
  <si>
    <t>BRANDY EAU DE VIE</t>
  </si>
  <si>
    <t>Wray &amp; Nephew</t>
  </si>
  <si>
    <t>Total Cost</t>
  </si>
  <si>
    <t>Gross Sales</t>
  </si>
  <si>
    <t>Profit</t>
  </si>
  <si>
    <t>PASTRY LIQUOR</t>
  </si>
  <si>
    <t>Glen Grant 12</t>
  </si>
  <si>
    <r>
      <t xml:space="preserve">Pmix Impact Worksheet - </t>
    </r>
    <r>
      <rPr>
        <b/>
        <sz val="16"/>
        <color theme="0"/>
        <rFont val="Aptos Narrow (Body)"/>
      </rPr>
      <t>Weighted Pmix &amp; High Cost Leading Sales</t>
    </r>
  </si>
  <si>
    <r>
      <t xml:space="preserve">Pmix Impact Worksheet - </t>
    </r>
    <r>
      <rPr>
        <b/>
        <sz val="16"/>
        <color theme="0"/>
        <rFont val="Aptos Narrow (Body)"/>
      </rPr>
      <t>Weighted Pmix &amp; Low Cost Leading Sales</t>
    </r>
  </si>
  <si>
    <r>
      <t xml:space="preserve">Pmix Impact Worksheet - </t>
    </r>
    <r>
      <rPr>
        <b/>
        <sz val="16"/>
        <color theme="0"/>
        <rFont val="Aptos Narrow (Body)"/>
      </rPr>
      <t>Even Pmix &amp; Adjusted COGs</t>
    </r>
  </si>
  <si>
    <r>
      <t xml:space="preserve">Pmix Impact Worksheet - </t>
    </r>
    <r>
      <rPr>
        <b/>
        <sz val="16"/>
        <color theme="0"/>
        <rFont val="Aptos Narrow (Body)"/>
      </rPr>
      <t>Weighted Pmix &amp; Adjusted COGs</t>
    </r>
  </si>
  <si>
    <r>
      <t xml:space="preserve">COGS
---
</t>
    </r>
    <r>
      <rPr>
        <b/>
        <sz val="10"/>
        <color theme="0"/>
        <rFont val="Arial"/>
        <family val="2"/>
      </rPr>
      <t>DO NOT EDIT</t>
    </r>
  </si>
  <si>
    <r>
      <t xml:space="preserve">COST / SERVING
---
</t>
    </r>
    <r>
      <rPr>
        <b/>
        <sz val="10"/>
        <color theme="0"/>
        <rFont val="Arial"/>
        <family val="2"/>
      </rPr>
      <t>DO NOT EDIT</t>
    </r>
  </si>
  <si>
    <r>
      <t xml:space="preserve">COST / OUNCE
---
</t>
    </r>
    <r>
      <rPr>
        <b/>
        <sz val="10"/>
        <color theme="0"/>
        <rFont val="Arial"/>
        <family val="2"/>
      </rPr>
      <t>DO NOT EDIT</t>
    </r>
  </si>
  <si>
    <t>BOTTLE SIZE
(ML)</t>
  </si>
  <si>
    <r>
      <t xml:space="preserve">Pmix Impact Worksheet - </t>
    </r>
    <r>
      <rPr>
        <b/>
        <sz val="16"/>
        <color theme="0"/>
        <rFont val="Aptos Narrow"/>
        <scheme val="minor"/>
      </rPr>
      <t>E</t>
    </r>
    <r>
      <rPr>
        <b/>
        <sz val="16"/>
        <color theme="0"/>
        <rFont val="Aptos Narrow (Body)"/>
      </rPr>
      <t>ven Pmix &amp; Large Cost Range</t>
    </r>
  </si>
  <si>
    <t>DISTRIBUTOR 
(sortable alphabetically)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</si>
</sst>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2"/>
      <color theme="0"/>
      <name val="Aptos Narrow"/>
      <scheme val="minor"/>
    </font>
    <font>
      <b/>
      <sz val="12"/>
      <name val="Arial"/>
      <family val="2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ptos Narrow"/>
      <scheme val="minor"/>
    </font>
    <font>
      <sz val="8"/>
      <name val="Aptos Narrow"/>
      <family val="2"/>
      <scheme val="minor"/>
    </font>
    <font>
      <b/>
      <sz val="16"/>
      <color theme="0"/>
      <name val="Aptos Narrow (Body)"/>
    </font>
    <font>
      <b/>
      <sz val="16"/>
      <color theme="0"/>
      <name val="Aptos Narrow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7131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0" fontId="2" fillId="0" borderId="0" xfId="0" applyFont="1"/>
    <xf numFmtId="0" fontId="2" fillId="0" borderId="8" xfId="0" applyFont="1" applyBorder="1"/>
    <xf numFmtId="0" fontId="0" fillId="0" borderId="13" xfId="0" applyBorder="1"/>
    <xf numFmtId="0" fontId="2" fillId="0" borderId="9" xfId="0" applyFont="1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4" fontId="2" fillId="0" borderId="9" xfId="1" applyFont="1" applyBorder="1"/>
    <xf numFmtId="44" fontId="2" fillId="0" borderId="8" xfId="1" applyFont="1" applyBorder="1"/>
    <xf numFmtId="1" fontId="4" fillId="0" borderId="24" xfId="1" applyNumberFormat="1" applyFont="1" applyFill="1" applyBorder="1" applyAlignment="1">
      <alignment horizontal="center"/>
    </xf>
    <xf numFmtId="44" fontId="4" fillId="0" borderId="24" xfId="1" applyFont="1" applyFill="1" applyBorder="1" applyAlignment="1">
      <alignment horizontal="center"/>
    </xf>
    <xf numFmtId="0" fontId="4" fillId="0" borderId="24" xfId="1" applyNumberFormat="1" applyFont="1" applyFill="1" applyBorder="1" applyAlignment="1">
      <alignment horizontal="center"/>
    </xf>
    <xf numFmtId="44" fontId="4" fillId="0" borderId="24" xfId="1" applyFont="1" applyFill="1" applyBorder="1"/>
    <xf numFmtId="9" fontId="4" fillId="0" borderId="24" xfId="2" applyFont="1" applyFill="1" applyBorder="1"/>
    <xf numFmtId="0" fontId="4" fillId="0" borderId="24" xfId="2" applyNumberFormat="1" applyFont="1" applyFill="1" applyBorder="1"/>
    <xf numFmtId="44" fontId="4" fillId="0" borderId="24" xfId="2" applyNumberFormat="1" applyFont="1" applyFill="1" applyBorder="1"/>
    <xf numFmtId="1" fontId="4" fillId="0" borderId="10" xfId="1" applyNumberFormat="1" applyFont="1" applyFill="1" applyBorder="1" applyAlignment="1">
      <alignment horizontal="center"/>
    </xf>
    <xf numFmtId="0" fontId="6" fillId="0" borderId="8" xfId="3" applyNumberFormat="1" applyFont="1" applyFill="1" applyBorder="1" applyAlignment="1">
      <alignment horizontal="center"/>
    </xf>
    <xf numFmtId="44" fontId="4" fillId="0" borderId="8" xfId="1" applyFont="1" applyFill="1" applyBorder="1"/>
    <xf numFmtId="9" fontId="4" fillId="0" borderId="8" xfId="2" applyFont="1" applyFill="1" applyBorder="1"/>
    <xf numFmtId="0" fontId="4" fillId="0" borderId="8" xfId="2" applyNumberFormat="1" applyFont="1" applyFill="1" applyBorder="1"/>
    <xf numFmtId="44" fontId="4" fillId="0" borderId="8" xfId="2" applyNumberFormat="1" applyFont="1" applyFill="1" applyBorder="1"/>
    <xf numFmtId="44" fontId="4" fillId="0" borderId="8" xfId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44" fontId="6" fillId="0" borderId="8" xfId="3" applyFont="1" applyFill="1" applyBorder="1" applyAlignment="1">
      <alignment horizontal="center"/>
    </xf>
    <xf numFmtId="1" fontId="6" fillId="0" borderId="24" xfId="1" applyNumberFormat="1" applyFont="1" applyFill="1" applyBorder="1" applyAlignment="1">
      <alignment horizontal="center"/>
    </xf>
    <xf numFmtId="1" fontId="4" fillId="0" borderId="8" xfId="1" applyNumberFormat="1" applyFont="1" applyFill="1" applyBorder="1" applyAlignment="1">
      <alignment horizontal="center"/>
    </xf>
    <xf numFmtId="1" fontId="6" fillId="0" borderId="10" xfId="1" applyNumberFormat="1" applyFont="1" applyFill="1" applyBorder="1" applyAlignment="1">
      <alignment horizontal="center"/>
    </xf>
    <xf numFmtId="1" fontId="4" fillId="0" borderId="0" xfId="1" applyNumberFormat="1" applyFont="1" applyFill="1" applyBorder="1"/>
    <xf numFmtId="0" fontId="4" fillId="0" borderId="0" xfId="1" applyNumberFormat="1" applyFont="1" applyFill="1" applyBorder="1"/>
    <xf numFmtId="44" fontId="4" fillId="0" borderId="0" xfId="1" applyFont="1" applyFill="1" applyBorder="1"/>
    <xf numFmtId="1" fontId="4" fillId="0" borderId="0" xfId="1" applyNumberFormat="1" applyFont="1" applyFill="1"/>
    <xf numFmtId="0" fontId="4" fillId="0" borderId="0" xfId="1" applyNumberFormat="1" applyFont="1" applyFill="1"/>
    <xf numFmtId="44" fontId="4" fillId="0" borderId="0" xfId="1" applyFont="1" applyFill="1"/>
    <xf numFmtId="1" fontId="8" fillId="0" borderId="24" xfId="1" applyNumberFormat="1" applyFont="1" applyFill="1" applyBorder="1" applyAlignment="1">
      <alignment horizontal="center" vertical="center" wrapText="1"/>
    </xf>
    <xf numFmtId="44" fontId="8" fillId="0" borderId="24" xfId="1" applyFont="1" applyFill="1" applyBorder="1" applyAlignment="1">
      <alignment horizontal="center" vertical="center" wrapText="1"/>
    </xf>
    <xf numFmtId="0" fontId="8" fillId="0" borderId="24" xfId="1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4" xfId="0" applyFont="1" applyBorder="1" applyProtection="1">
      <protection locked="0"/>
    </xf>
    <xf numFmtId="0" fontId="4" fillId="0" borderId="24" xfId="0" applyFont="1" applyBorder="1"/>
    <xf numFmtId="0" fontId="4" fillId="0" borderId="0" xfId="0" applyFont="1"/>
    <xf numFmtId="0" fontId="4" fillId="0" borderId="8" xfId="0" applyFont="1" applyBorder="1"/>
    <xf numFmtId="0" fontId="7" fillId="0" borderId="24" xfId="0" applyFont="1" applyBorder="1"/>
    <xf numFmtId="0" fontId="7" fillId="0" borderId="24" xfId="0" applyFont="1" applyBorder="1" applyAlignment="1">
      <alignment horizontal="center"/>
    </xf>
    <xf numFmtId="0" fontId="6" fillId="0" borderId="24" xfId="4" applyFont="1" applyBorder="1"/>
    <xf numFmtId="0" fontId="4" fillId="0" borderId="8" xfId="4" applyFont="1" applyBorder="1"/>
    <xf numFmtId="0" fontId="6" fillId="0" borderId="8" xfId="4" applyFont="1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11" xfId="0" applyFont="1" applyBorder="1"/>
    <xf numFmtId="0" fontId="7" fillId="0" borderId="10" xfId="0" applyFont="1" applyBorder="1" applyAlignment="1">
      <alignment horizontal="center"/>
    </xf>
    <xf numFmtId="0" fontId="4" fillId="0" borderId="11" xfId="0" applyFont="1" applyBorder="1" applyProtection="1">
      <protection locked="0"/>
    </xf>
    <xf numFmtId="0" fontId="4" fillId="0" borderId="11" xfId="0" applyFont="1" applyBorder="1"/>
    <xf numFmtId="0" fontId="6" fillId="0" borderId="8" xfId="0" applyFont="1" applyBorder="1"/>
    <xf numFmtId="1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/>
    <xf numFmtId="9" fontId="4" fillId="0" borderId="0" xfId="0" applyNumberFormat="1" applyFont="1"/>
    <xf numFmtId="44" fontId="4" fillId="0" borderId="0" xfId="1" applyFont="1" applyFill="1" applyAlignment="1">
      <alignment horizontal="center"/>
    </xf>
    <xf numFmtId="0" fontId="6" fillId="0" borderId="0" xfId="0" applyFont="1"/>
    <xf numFmtId="0" fontId="4" fillId="0" borderId="12" xfId="2" applyNumberFormat="1" applyFont="1" applyFill="1" applyBorder="1"/>
    <xf numFmtId="44" fontId="4" fillId="0" borderId="12" xfId="2" applyNumberFormat="1" applyFont="1" applyFill="1" applyBorder="1"/>
    <xf numFmtId="0" fontId="4" fillId="0" borderId="25" xfId="0" applyFont="1" applyBorder="1"/>
    <xf numFmtId="44" fontId="4" fillId="0" borderId="26" xfId="0" applyNumberFormat="1" applyFont="1" applyBorder="1"/>
    <xf numFmtId="44" fontId="4" fillId="3" borderId="24" xfId="1" applyFont="1" applyFill="1" applyBorder="1"/>
    <xf numFmtId="44" fontId="4" fillId="3" borderId="8" xfId="1" applyFont="1" applyFill="1" applyBorder="1"/>
    <xf numFmtId="0" fontId="2" fillId="0" borderId="27" xfId="0" applyFont="1" applyBorder="1" applyAlignment="1">
      <alignment horizontal="center" vertical="center"/>
    </xf>
    <xf numFmtId="10" fontId="9" fillId="0" borderId="1" xfId="2" applyNumberFormat="1" applyFont="1" applyBorder="1"/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9" xfId="0" applyFont="1" applyBorder="1"/>
    <xf numFmtId="0" fontId="2" fillId="0" borderId="30" xfId="0" applyFont="1" applyBorder="1"/>
    <xf numFmtId="10" fontId="2" fillId="0" borderId="31" xfId="2" applyNumberFormat="1" applyFont="1" applyBorder="1"/>
    <xf numFmtId="0" fontId="2" fillId="0" borderId="16" xfId="0" applyFont="1" applyBorder="1"/>
    <xf numFmtId="10" fontId="2" fillId="0" borderId="20" xfId="2" applyNumberFormat="1" applyFont="1" applyBorder="1"/>
    <xf numFmtId="0" fontId="2" fillId="0" borderId="17" xfId="0" applyFont="1" applyBorder="1"/>
    <xf numFmtId="0" fontId="2" fillId="0" borderId="18" xfId="0" applyFont="1" applyBorder="1"/>
    <xf numFmtId="44" fontId="2" fillId="0" borderId="18" xfId="1" applyFont="1" applyBorder="1"/>
    <xf numFmtId="10" fontId="2" fillId="0" borderId="19" xfId="2" applyNumberFormat="1" applyFont="1" applyBorder="1"/>
    <xf numFmtId="44" fontId="2" fillId="0" borderId="29" xfId="0" applyNumberFormat="1" applyFont="1" applyBorder="1"/>
    <xf numFmtId="10" fontId="2" fillId="0" borderId="14" xfId="0" applyNumberFormat="1" applyFont="1" applyBorder="1"/>
    <xf numFmtId="44" fontId="2" fillId="0" borderId="0" xfId="0" applyNumberFormat="1" applyFont="1"/>
    <xf numFmtId="164" fontId="2" fillId="0" borderId="9" xfId="0" applyNumberFormat="1" applyFont="1" applyBorder="1"/>
    <xf numFmtId="164" fontId="2" fillId="0" borderId="27" xfId="0" applyNumberFormat="1" applyFont="1" applyBorder="1"/>
    <xf numFmtId="164" fontId="2" fillId="0" borderId="0" xfId="0" applyNumberFormat="1" applyFont="1"/>
    <xf numFmtId="0" fontId="2" fillId="0" borderId="22" xfId="0" applyFont="1" applyBorder="1" applyAlignment="1">
      <alignment horizontal="center" vertical="center" wrapText="1"/>
    </xf>
    <xf numFmtId="164" fontId="9" fillId="0" borderId="1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5">
    <cellStyle name="Currency" xfId="1" builtinId="4"/>
    <cellStyle name="Currency 2" xfId="3" xr:uid="{2FFA9976-415F-E048-88B1-E7AFC0767E07}"/>
    <cellStyle name="Normal" xfId="0" builtinId="0"/>
    <cellStyle name="Normal 2 2 3 3" xfId="4" xr:uid="{27F50287-E408-0C4D-891F-2C5CF1AD9619}"/>
    <cellStyle name="Percent" xfId="2" builtinId="5"/>
  </cellStyles>
  <dxfs count="18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A7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253B89-13E6-3B4C-AE4D-5393533044DC}" name="Table6" displayName="Table6" ref="B1:N108" totalsRowCount="1" headerRowDxfId="181" dataDxfId="179" totalsRowDxfId="177" headerRowBorderDxfId="180" tableBorderDxfId="178" totalsRowBorderDxfId="176">
  <autoFilter ref="B1:N107" xr:uid="{87253B89-13E6-3B4C-AE4D-5393533044DC}"/>
  <sortState xmlns:xlrd2="http://schemas.microsoft.com/office/spreadsheetml/2017/richdata2" ref="B2:N107">
    <sortCondition ref="B1:B107"/>
  </sortState>
  <tableColumns count="13">
    <tableColumn id="2" xr3:uid="{3506D42F-9DEA-6E49-8A2B-499A8A2E889B}" name="CATEGORY" dataDxfId="25" totalsRowDxfId="24"/>
    <tableColumn id="1" xr3:uid="{705D4FF3-2D07-454A-9A13-52BF2A77A451}" name="DESCRIPTION" dataDxfId="23" totalsRowDxfId="22"/>
    <tableColumn id="16" xr3:uid="{726B47BC-B583-CD45-80F6-60CB5F2E3099}" name="BOTTLE SIZE_x000a_(ML)" dataDxfId="21" totalsRowDxfId="20" dataCellStyle="Currency"/>
    <tableColumn id="12" xr3:uid="{51B4478B-230F-E741-B1BC-7E01EEE264EF}" name="BOT COST" dataDxfId="19" totalsRowDxfId="18" dataCellStyle="Currency"/>
    <tableColumn id="5" xr3:uid="{038729B4-64BA-6F45-8785-7F8D5A170F7F}" name="BEST PRICE CASE QTY" dataDxfId="17" totalsRowDxfId="16" dataCellStyle="Currency"/>
    <tableColumn id="17" xr3:uid="{AF241582-169E-C749-A2CB-20BD44244559}" name="COST / OUNCE_x000a_---_x000a_DO NOT EDIT" dataDxfId="15" totalsRowDxfId="14" dataCellStyle="Currency">
      <calculatedColumnFormula>Table6[[#This Row],[BOT COST]]/(Table6[[#This Row],[BOTTLE SIZE
(ML)]]*0.033814)</calculatedColumnFormula>
    </tableColumn>
    <tableColumn id="18" xr3:uid="{3EFFA794-D5C3-F54F-9EB9-5CC298600EEE}" name="COST / SERVING_x000a_---_x000a_DO NOT EDIT" dataDxfId="13" totalsRowDxfId="12" dataCellStyle="Currency">
      <calculatedColumnFormula>1.5*Table6[[#This Row],[COST / OUNCE
---
DO NOT EDIT]]</calculatedColumnFormula>
    </tableColumn>
    <tableColumn id="3" xr3:uid="{8563AB79-A9CA-674B-98E8-69E2A7F56762}" name="MENU PRICE" dataDxfId="11" totalsRowDxfId="10" dataCellStyle="Currency"/>
    <tableColumn id="4" xr3:uid="{88D742E9-B1CD-B442-90AF-6F66DDCB5580}" name="COGS_x000a_---_x000a_DO NOT EDIT" dataDxfId="9" totalsRowDxfId="8" dataCellStyle="Percent">
      <calculatedColumnFormula>Table6[[#This Row],[COST / SERVING
---
DO NOT EDIT]]/Table6[[#This Row],[MENU PRICE]]</calculatedColumnFormula>
    </tableColumn>
    <tableColumn id="7" xr3:uid="{7DA064CA-30B5-EC41-B39A-D0DC92F0E9C8}" name="ORDER QUANTITY" totalsRowLabel="TOTAL" dataDxfId="7" totalsRowDxfId="6" dataCellStyle="Percent"/>
    <tableColumn id="8" xr3:uid="{7130BC1B-5275-3546-8A3D-5046A2218146}" name="ORDER TOTAL" dataDxfId="5" totalsRowDxfId="4" dataCellStyle="Percent">
      <calculatedColumnFormula>Table6[[#This Row],[BOT COST]]*Table6[[#This Row],[ORDER QUANTITY]]</calculatedColumnFormula>
    </tableColumn>
    <tableColumn id="13" xr3:uid="{AD5FD311-3B41-8C41-A56D-D956ABE374D1}" name="DISTRIBUTOR _x000a_(sortable alphabetically)" dataDxfId="3" totalsRowDxfId="2"/>
    <tableColumn id="10" xr3:uid="{A85B0220-83A3-1642-B253-B705882D165C}" name="Notes" dataDxfId="1" totalsRowDxfId="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C6356E-C308-E440-9004-78C690905B4D}" name="Table1" displayName="Table1" ref="B4:K15" totalsRowCount="1" headerRowDxfId="175" dataDxfId="173" headerRowBorderDxfId="174" tableBorderDxfId="172" totalsRowBorderDxfId="171">
  <autoFilter ref="B4:K14" xr:uid="{0BC6356E-C308-E440-9004-78C690905B4D}"/>
  <tableColumns count="10">
    <tableColumn id="1" xr3:uid="{93EEA49F-3E25-3C44-A797-392B92526692}" name="Pmix Position" dataDxfId="170" totalsRowDxfId="169"/>
    <tableColumn id="2" xr3:uid="{3A6E7C08-BE6C-DA47-B416-690AC85B7CFC}" name="Cocktail Name" dataDxfId="168" totalsRowDxfId="167"/>
    <tableColumn id="3" xr3:uid="{3B7BA809-AFC0-0E49-AF3B-0323E21048D1}" name="Quantity Sold" totalsRowFunction="sum" dataDxfId="166" totalsRowDxfId="165"/>
    <tableColumn id="4" xr3:uid="{B8C4FE6B-26C1-8D47-8DC7-D28F794221B9}" name="Cost" dataDxfId="164" totalsRowDxfId="163" dataCellStyle="Currency"/>
    <tableColumn id="5" xr3:uid="{3D2004BB-C580-A74F-873C-DE8A2228EBF7}" name="Price" dataDxfId="162" totalsRowDxfId="161"/>
    <tableColumn id="6" xr3:uid="{B60DBED6-4DEA-F14F-92E6-5E88E28926F7}" name="COGs%" dataDxfId="160" totalsRowDxfId="159" dataCellStyle="Percent">
      <calculatedColumnFormula>Table1[[#This Row],[Cost]]/Table1[[#This Row],[Price]]</calculatedColumnFormula>
    </tableColumn>
    <tableColumn id="7" xr3:uid="{C451163C-3DD2-AF48-8764-DCE6D3A48AC0}" name="Column1" totalsRowFunction="sum" dataDxfId="158" totalsRowDxfId="157">
      <calculatedColumnFormula>Table1[[#This Row],[Quantity Sold]]*Table1[[#This Row],[COGs%]]</calculatedColumnFormula>
    </tableColumn>
    <tableColumn id="8" xr3:uid="{E2B4B3CB-FF6E-2B41-B9C0-68A67172CDD9}" name="Total Cost" dataDxfId="156" totalsRowDxfId="155">
      <calculatedColumnFormula>Table1[[#This Row],[Quantity Sold]]*Table1[[#This Row],[Cost]]</calculatedColumnFormula>
    </tableColumn>
    <tableColumn id="9" xr3:uid="{102F26F9-1C82-0343-A707-F21F9C4EEC9B}" name="Gross Sales" dataDxfId="154" totalsRowDxfId="153">
      <calculatedColumnFormula>Table1[[#This Row],[Quantity Sold]]*Table1[[#This Row],[Price]]</calculatedColumnFormula>
    </tableColumn>
    <tableColumn id="10" xr3:uid="{1DD93A17-50F1-434A-A664-B7508FDB3898}" name="Profit" dataDxfId="152" totalsRowDxfId="151">
      <calculatedColumnFormula>Table1[[#This Row],[Gross Sales]]-Table1[[#This Row],[Total Cost]]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3C4306-97D5-0940-AFAA-655E7799AA3B}" name="Table18" displayName="Table18" ref="B4:K15" totalsRowCount="1" headerRowDxfId="150" dataDxfId="148" headerRowBorderDxfId="149" tableBorderDxfId="147" totalsRowBorderDxfId="146">
  <autoFilter ref="B4:K14" xr:uid="{D53C4306-97D5-0940-AFAA-655E7799AA3B}"/>
  <tableColumns count="10">
    <tableColumn id="1" xr3:uid="{C86EA24A-990B-F044-A51B-75571511F6F3}" name="Pmix Position" dataDxfId="145" totalsRowDxfId="144"/>
    <tableColumn id="2" xr3:uid="{931F6AE2-3F65-4046-B7F8-7D5B1D973C70}" name="Cocktail Name" dataDxfId="143" totalsRowDxfId="142"/>
    <tableColumn id="3" xr3:uid="{A784EDA9-5023-EA44-8E06-57751F7586C5}" name="Quantity Sold" totalsRowFunction="sum" dataDxfId="141" totalsRowDxfId="140"/>
    <tableColumn id="4" xr3:uid="{3C42BE32-85D1-0A4A-B089-AEEBF2B9A4BE}" name="Cost" dataDxfId="139" totalsRowDxfId="138" dataCellStyle="Currency"/>
    <tableColumn id="5" xr3:uid="{8B0DCD8B-FFBA-164F-9EA5-B2B5A270041A}" name="Price" dataDxfId="137" totalsRowDxfId="136"/>
    <tableColumn id="6" xr3:uid="{E0EA7922-6B8A-134F-90F4-12401BDB2E3F}" name="COGs%" dataDxfId="135" totalsRowDxfId="134" dataCellStyle="Percent">
      <calculatedColumnFormula>Table18[[#This Row],[Cost]]/Table18[[#This Row],[Price]]</calculatedColumnFormula>
    </tableColumn>
    <tableColumn id="7" xr3:uid="{156202B1-3616-C841-89BB-923635522FE1}" name="Column1" totalsRowFunction="sum" dataDxfId="133" totalsRowDxfId="132">
      <calculatedColumnFormula>Table18[[#This Row],[Quantity Sold]]*Table18[[#This Row],[COGs%]]</calculatedColumnFormula>
    </tableColumn>
    <tableColumn id="8" xr3:uid="{2DCA4D38-5347-2947-BE2F-C55FB50A7289}" name="Total Cost" dataDxfId="131" totalsRowDxfId="130">
      <calculatedColumnFormula>Table18[[#This Row],[Quantity Sold]]*Table18[[#This Row],[Cost]]</calculatedColumnFormula>
    </tableColumn>
    <tableColumn id="9" xr3:uid="{C4E93AA5-39FB-2A40-AEA3-18185C16EA43}" name="Gross Sales" dataDxfId="129" totalsRowDxfId="128">
      <calculatedColumnFormula>Table18[[#This Row],[Quantity Sold]]*Table18[[#This Row],[Price]]</calculatedColumnFormula>
    </tableColumn>
    <tableColumn id="10" xr3:uid="{CF0D3422-663D-054D-B60C-087397605122}" name="Profit" dataDxfId="127" totalsRowDxfId="126">
      <calculatedColumnFormula>Table18[[#This Row],[Gross Sales]]-Table18[[#This Row],[Total Cost]]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89FF758-7519-2D4D-A1EB-F6E18C2E099F}" name="Table17" displayName="Table17" ref="B4:K15" totalsRowCount="1" headerRowDxfId="125" dataDxfId="123" headerRowBorderDxfId="124" tableBorderDxfId="122" totalsRowBorderDxfId="121">
  <autoFilter ref="B4:K14" xr:uid="{D89FF758-7519-2D4D-A1EB-F6E18C2E099F}"/>
  <sortState xmlns:xlrd2="http://schemas.microsoft.com/office/spreadsheetml/2017/richdata2" ref="B5:K14">
    <sortCondition ref="B4:B14"/>
  </sortState>
  <tableColumns count="10">
    <tableColumn id="1" xr3:uid="{360C58C8-C216-8A4C-B918-0D7AF57FC5F1}" name="Pmix Position" dataDxfId="120" totalsRowDxfId="119"/>
    <tableColumn id="2" xr3:uid="{6744A718-A8F6-F947-9B58-56C78655F5F0}" name="Cocktail Name" dataDxfId="118" totalsRowDxfId="117"/>
    <tableColumn id="3" xr3:uid="{B68CE064-D7E7-C740-B1E2-6BF8022938EB}" name="Quantity Sold" totalsRowFunction="sum" dataDxfId="116" totalsRowDxfId="115"/>
    <tableColumn id="4" xr3:uid="{BEE9EA63-70A4-5643-B1FB-8F5F01114AEC}" name="Cost" dataDxfId="114" totalsRowDxfId="113" dataCellStyle="Currency"/>
    <tableColumn id="5" xr3:uid="{A2D40AEF-7CEA-7644-9BB6-56A6F5E687D6}" name="Price" dataDxfId="112" totalsRowDxfId="111"/>
    <tableColumn id="6" xr3:uid="{79741C39-8A5F-9947-8A5D-3528D05BD6F8}" name="COGs%" dataDxfId="110" totalsRowDxfId="109" dataCellStyle="Percent">
      <calculatedColumnFormula>Table17[[#This Row],[Cost]]/Table17[[#This Row],[Price]]</calculatedColumnFormula>
    </tableColumn>
    <tableColumn id="7" xr3:uid="{26DE937F-0C21-AC4F-9ECE-C9F181ADF21C}" name="Column1" totalsRowFunction="sum" dataDxfId="108" totalsRowDxfId="107">
      <calculatedColumnFormula>Table17[[#This Row],[Quantity Sold]]*Table17[[#This Row],[COGs%]]</calculatedColumnFormula>
    </tableColumn>
    <tableColumn id="8" xr3:uid="{EAC45E07-F142-0547-9C31-6869050A2C44}" name="Total Cost" dataDxfId="106" totalsRowDxfId="105">
      <calculatedColumnFormula>Table17[[#This Row],[Quantity Sold]]*Table17[[#This Row],[Cost]]</calculatedColumnFormula>
    </tableColumn>
    <tableColumn id="9" xr3:uid="{B0FF430F-12BB-7443-A145-2EC64CB8DA0C}" name="Gross Sales" dataDxfId="104" totalsRowDxfId="103">
      <calculatedColumnFormula>Table17[[#This Row],[Quantity Sold]]*Table17[[#This Row],[Price]]</calculatedColumnFormula>
    </tableColumn>
    <tableColumn id="10" xr3:uid="{49E97451-2E6A-984F-95AC-6510F7F974E5}" name="Profit" dataDxfId="102" totalsRowDxfId="101">
      <calculatedColumnFormula>Table17[[#This Row],[Gross Sales]]-Table17[[#This Row],[Total Cost]]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8F57D7D-48F3-5D43-B97D-D8E4DB40D1AE}" name="Table16" displayName="Table16" ref="B4:K15" totalsRowCount="1" headerRowDxfId="100" dataDxfId="98" headerRowBorderDxfId="99" tableBorderDxfId="97" totalsRowBorderDxfId="96">
  <autoFilter ref="B4:K14" xr:uid="{58F57D7D-48F3-5D43-B97D-D8E4DB40D1AE}"/>
  <tableColumns count="10">
    <tableColumn id="1" xr3:uid="{289BEC06-1151-5C48-80A3-ADFB4E718B60}" name="Pmix Position" dataDxfId="95" totalsRowDxfId="94"/>
    <tableColumn id="2" xr3:uid="{940CD46B-1AD9-5D4A-A50E-74F0130B80FC}" name="Cocktail Name" dataDxfId="93" totalsRowDxfId="92"/>
    <tableColumn id="3" xr3:uid="{81F27A82-82CE-DA4F-A535-33E546F304ED}" name="Quantity Sold" totalsRowFunction="sum" dataDxfId="91" totalsRowDxfId="90"/>
    <tableColumn id="4" xr3:uid="{D34968B2-0565-2A45-8784-455E18D48784}" name="Cost" dataDxfId="89" totalsRowDxfId="88" dataCellStyle="Currency"/>
    <tableColumn id="5" xr3:uid="{B9339951-7BE2-1747-A194-2188568E19DD}" name="Price" dataDxfId="87" totalsRowDxfId="86"/>
    <tableColumn id="6" xr3:uid="{475ADAE5-237E-E943-BD53-9BECCA1B90A7}" name="COGs%" dataDxfId="85" totalsRowDxfId="84" dataCellStyle="Percent">
      <calculatedColumnFormula>Table16[[#This Row],[Cost]]/Table16[[#This Row],[Price]]</calculatedColumnFormula>
    </tableColumn>
    <tableColumn id="7" xr3:uid="{376A4E27-EE3D-8F4F-B23F-53D8A64C94B3}" name="Column1" totalsRowFunction="sum" dataDxfId="83" totalsRowDxfId="82">
      <calculatedColumnFormula>Table16[[#This Row],[Quantity Sold]]*Table16[[#This Row],[COGs%]]</calculatedColumnFormula>
    </tableColumn>
    <tableColumn id="8" xr3:uid="{42F6B838-80C5-7E4B-8F7C-B694DFCA4BF2}" name="Total Cost" dataDxfId="81" totalsRowDxfId="80">
      <calculatedColumnFormula>Table16[[#This Row],[Quantity Sold]]*Table16[[#This Row],[Cost]]</calculatedColumnFormula>
    </tableColumn>
    <tableColumn id="9" xr3:uid="{78D8E631-5888-F24B-81C3-1639A2C4ED70}" name="Gross Sales" dataDxfId="79" totalsRowDxfId="78">
      <calculatedColumnFormula>Table16[[#This Row],[Quantity Sold]]*Table16[[#This Row],[Price]]</calculatedColumnFormula>
    </tableColumn>
    <tableColumn id="10" xr3:uid="{C7FEF847-9A5D-B046-85A0-3B451E34649F}" name="Profit" dataDxfId="77" totalsRowDxfId="76">
      <calculatedColumnFormula>Table16[[#This Row],[Gross Sales]]-Table16[[#This Row],[Total Cost]]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33B1DB-B31D-DF4B-BAA9-746EF6EB98F9}" name="Table184" displayName="Table184" ref="B4:K15" totalsRowCount="1" headerRowDxfId="75" dataDxfId="73" headerRowBorderDxfId="74" tableBorderDxfId="72" totalsRowBorderDxfId="71">
  <autoFilter ref="B4:K14" xr:uid="{8D33B1DB-B31D-DF4B-BAA9-746EF6EB98F9}"/>
  <tableColumns count="10">
    <tableColumn id="1" xr3:uid="{08BDED4A-0F5D-DF4B-9221-68372820CDBA}" name="Pmix Position" dataDxfId="70" totalsRowDxfId="69"/>
    <tableColumn id="2" xr3:uid="{B7D3EC50-D1EF-B643-956D-565955A3F2F0}" name="Cocktail Name" dataDxfId="68" totalsRowDxfId="67"/>
    <tableColumn id="3" xr3:uid="{FADF3B51-C9E0-844A-A584-217D97D8BEF0}" name="Quantity Sold" totalsRowFunction="sum" dataDxfId="66" totalsRowDxfId="65"/>
    <tableColumn id="4" xr3:uid="{5D4BDB6B-9928-894D-BE3E-16D2036A9172}" name="Cost" dataDxfId="64" totalsRowDxfId="63" dataCellStyle="Currency"/>
    <tableColumn id="5" xr3:uid="{A68D6BD7-DC2B-E34A-AC52-05A2D935DCFA}" name="Price" dataDxfId="62" totalsRowDxfId="61"/>
    <tableColumn id="6" xr3:uid="{FE6050EB-09F5-F54C-92B4-DC73A0B2F010}" name="COGs%" dataDxfId="60" totalsRowDxfId="59" dataCellStyle="Percent">
      <calculatedColumnFormula>Table184[[#This Row],[Cost]]/Table184[[#This Row],[Price]]</calculatedColumnFormula>
    </tableColumn>
    <tableColumn id="7" xr3:uid="{61CC0FA9-A7AC-C445-95AE-5067C6D0F437}" name="Column1" totalsRowFunction="sum" dataDxfId="58" totalsRowDxfId="57">
      <calculatedColumnFormula>Table184[[#This Row],[Quantity Sold]]*Table184[[#This Row],[COGs%]]</calculatedColumnFormula>
    </tableColumn>
    <tableColumn id="8" xr3:uid="{BE93C8CC-887C-4743-82D8-5EB4A42409BB}" name="Total Cost" dataDxfId="56" totalsRowDxfId="55">
      <calculatedColumnFormula>Table184[[#This Row],[Quantity Sold]]*Table184[[#This Row],[Cost]]</calculatedColumnFormula>
    </tableColumn>
    <tableColumn id="9" xr3:uid="{BE955A9B-4126-2F4E-8281-1E2C772D11CE}" name="Gross Sales" dataDxfId="54" totalsRowDxfId="53">
      <calculatedColumnFormula>Table184[[#This Row],[Quantity Sold]]*Table184[[#This Row],[Price]]</calculatedColumnFormula>
    </tableColumn>
    <tableColumn id="10" xr3:uid="{AEC34A92-8A2A-D74D-BAA9-3DA5A47B4280}" name="Profit" dataDxfId="52" totalsRowDxfId="51">
      <calculatedColumnFormula>Table184[[#This Row],[Gross Sales]]-Table184[[#This Row],[Total Cost]]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546CFC-0F8D-9F4B-9AEE-77C977F0B3F0}" name="Table1845" displayName="Table1845" ref="B4:K15" totalsRowCount="1" headerRowDxfId="50" dataDxfId="48" headerRowBorderDxfId="49" tableBorderDxfId="47" totalsRowBorderDxfId="46">
  <autoFilter ref="B4:K14" xr:uid="{62546CFC-0F8D-9F4B-9AEE-77C977F0B3F0}"/>
  <tableColumns count="10">
    <tableColumn id="1" xr3:uid="{E80EACA6-B431-6348-AFC5-82B2E39FF973}" name="Pmix Position" dataDxfId="45" totalsRowDxfId="44"/>
    <tableColumn id="2" xr3:uid="{780E16A2-1277-184C-9740-FDBA71FD0227}" name="Cocktail Name" dataDxfId="43" totalsRowDxfId="42"/>
    <tableColumn id="3" xr3:uid="{CC93A935-5C61-864A-9EC0-E23807955EC9}" name="Quantity Sold" totalsRowFunction="sum" dataDxfId="41" totalsRowDxfId="40"/>
    <tableColumn id="4" xr3:uid="{F307B5E9-1CBA-C149-8401-74FFCE372DA9}" name="Cost" dataDxfId="39" totalsRowDxfId="38" dataCellStyle="Currency"/>
    <tableColumn id="5" xr3:uid="{C471C3E9-170F-B046-BAB4-DCDCFCFD74BF}" name="Price" dataDxfId="37" totalsRowDxfId="36"/>
    <tableColumn id="6" xr3:uid="{95D5B346-EAA4-E34E-8436-DC80D0FA3F65}" name="COGs%" dataDxfId="35" totalsRowDxfId="34" dataCellStyle="Percent">
      <calculatedColumnFormula>Table1845[[#This Row],[Cost]]/Table1845[[#This Row],[Price]]</calculatedColumnFormula>
    </tableColumn>
    <tableColumn id="7" xr3:uid="{EEE7BB4B-3A99-684B-B71D-506BD631921F}" name="Column1" totalsRowFunction="sum" dataDxfId="33" totalsRowDxfId="32">
      <calculatedColumnFormula>Table1845[[#This Row],[Quantity Sold]]*Table1845[[#This Row],[COGs%]]</calculatedColumnFormula>
    </tableColumn>
    <tableColumn id="8" xr3:uid="{3A26D802-CD62-EA4F-921B-253685E0104B}" name="Total Cost" dataDxfId="31" totalsRowDxfId="30">
      <calculatedColumnFormula>Table1845[[#This Row],[Quantity Sold]]*Table1845[[#This Row],[Cost]]</calculatedColumnFormula>
    </tableColumn>
    <tableColumn id="9" xr3:uid="{6217F5FD-8CE2-094D-AA71-FA45FED5B994}" name="Gross Sales" dataDxfId="29" totalsRowDxfId="28">
      <calculatedColumnFormula>Table1845[[#This Row],[Quantity Sold]]*Table1845[[#This Row],[Price]]</calculatedColumnFormula>
    </tableColumn>
    <tableColumn id="10" xr3:uid="{70031FF0-1C1C-F146-93AF-3F290B7D4DD7}" name="Profit" dataDxfId="27" totalsRowDxfId="26">
      <calculatedColumnFormula>Table1845[[#This Row],[Gross Sales]]-Table1845[[#This Row],[Total Cost]]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E1C9-ABF6-4442-9C8B-55AE67C5282D}">
  <dimension ref="B1:N216"/>
  <sheetViews>
    <sheetView tabSelected="1" zoomScale="75" workbookViewId="0">
      <pane ySplit="1" topLeftCell="A2" activePane="bottomLeft" state="frozen"/>
      <selection pane="bottomLeft" activeCell="M18" sqref="M18"/>
    </sheetView>
  </sheetViews>
  <sheetFormatPr baseColWidth="10" defaultColWidth="9.1640625" defaultRowHeight="16" outlineLevelCol="1" x14ac:dyDescent="0.2"/>
  <cols>
    <col min="1" max="1" width="5.1640625" style="42" customWidth="1"/>
    <col min="2" max="2" width="23.6640625" style="42" customWidth="1"/>
    <col min="3" max="3" width="50.6640625" style="42" customWidth="1"/>
    <col min="4" max="4" width="11.5" style="58" customWidth="1"/>
    <col min="5" max="5" width="13.5" style="58" customWidth="1"/>
    <col min="6" max="6" width="11.5" style="58" customWidth="1"/>
    <col min="7" max="7" width="15.1640625" style="42" customWidth="1"/>
    <col min="8" max="8" width="16.5" style="32" customWidth="1" outlineLevel="1"/>
    <col min="9" max="9" width="14.33203125" style="32" customWidth="1" outlineLevel="1"/>
    <col min="10" max="10" width="15" style="32" customWidth="1" outlineLevel="1"/>
    <col min="11" max="11" width="12.5" style="33" customWidth="1" outlineLevel="1"/>
    <col min="12" max="12" width="14.1640625" style="32" customWidth="1" outlineLevel="1"/>
    <col min="13" max="13" width="33" style="34" customWidth="1" outlineLevel="1"/>
    <col min="14" max="14" width="36.6640625" style="42" customWidth="1"/>
    <col min="15" max="16384" width="9.1640625" style="42"/>
  </cols>
  <sheetData>
    <row r="1" spans="2:14" s="39" customFormat="1" ht="99" customHeight="1" x14ac:dyDescent="0.2">
      <c r="B1" s="38" t="s">
        <v>17</v>
      </c>
      <c r="C1" s="38" t="s">
        <v>18</v>
      </c>
      <c r="D1" s="35" t="s">
        <v>105</v>
      </c>
      <c r="E1" s="36" t="s">
        <v>19</v>
      </c>
      <c r="F1" s="37" t="s">
        <v>20</v>
      </c>
      <c r="G1" s="36" t="s">
        <v>104</v>
      </c>
      <c r="H1" s="36" t="s">
        <v>103</v>
      </c>
      <c r="I1" s="36" t="s">
        <v>21</v>
      </c>
      <c r="J1" s="36" t="s">
        <v>102</v>
      </c>
      <c r="K1" s="37" t="s">
        <v>22</v>
      </c>
      <c r="L1" s="36" t="s">
        <v>23</v>
      </c>
      <c r="M1" s="38" t="s">
        <v>107</v>
      </c>
      <c r="N1" s="38" t="s">
        <v>24</v>
      </c>
    </row>
    <row r="2" spans="2:14" ht="20" customHeight="1" x14ac:dyDescent="0.2">
      <c r="B2" s="40" t="s">
        <v>26</v>
      </c>
      <c r="C2" s="41"/>
      <c r="D2" s="10"/>
      <c r="E2" s="11"/>
      <c r="F2" s="12"/>
      <c r="G2" s="13" t="e">
        <f>Table6[[#This Row],[BOT COST]]/(Table6[[#This Row],[BOTTLE SIZE
(ML)]]*0.033814)</f>
        <v>#DIV/0!</v>
      </c>
      <c r="H2" s="13" t="e">
        <f>1.5*Table6[[#This Row],[COST / OUNCE
---
DO NOT EDIT]]</f>
        <v>#DIV/0!</v>
      </c>
      <c r="I2" s="67"/>
      <c r="J2" s="14" t="e">
        <f>Table6[[#This Row],[COST / SERVING
---
DO NOT EDIT]]/Table6[[#This Row],[MENU PRICE]]</f>
        <v>#DIV/0!</v>
      </c>
      <c r="K2" s="15"/>
      <c r="L2" s="16">
        <f>Table6[[#This Row],[BOT COST]]*Table6[[#This Row],[ORDER QUANTITY]]</f>
        <v>0</v>
      </c>
      <c r="M2" s="41"/>
      <c r="N2" s="41"/>
    </row>
    <row r="3" spans="2:14" ht="20" customHeight="1" x14ac:dyDescent="0.2">
      <c r="B3" s="40" t="s">
        <v>26</v>
      </c>
      <c r="C3" s="43"/>
      <c r="D3" s="17"/>
      <c r="E3" s="25"/>
      <c r="F3" s="18"/>
      <c r="G3" s="19" t="e">
        <f>Table6[[#This Row],[BOT COST]]/(Table6[[#This Row],[BOTTLE SIZE
(ML)]]*0.033814)</f>
        <v>#DIV/0!</v>
      </c>
      <c r="H3" s="19" t="e">
        <f>1.5*Table6[[#This Row],[COST / OUNCE
---
DO NOT EDIT]]</f>
        <v>#DIV/0!</v>
      </c>
      <c r="I3" s="68"/>
      <c r="J3" s="20" t="e">
        <f>Table6[[#This Row],[COST / SERVING
---
DO NOT EDIT]]/Table6[[#This Row],[MENU PRICE]]</f>
        <v>#DIV/0!</v>
      </c>
      <c r="K3" s="21"/>
      <c r="L3" s="22">
        <f>Table6[[#This Row],[BOT COST]]*Table6[[#This Row],[ORDER QUANTITY]]</f>
        <v>0</v>
      </c>
      <c r="M3" s="41"/>
      <c r="N3" s="43"/>
    </row>
    <row r="4" spans="2:14" ht="20" customHeight="1" x14ac:dyDescent="0.2">
      <c r="B4" s="46" t="s">
        <v>27</v>
      </c>
      <c r="C4" s="41" t="s">
        <v>30</v>
      </c>
      <c r="D4" s="10">
        <v>750</v>
      </c>
      <c r="E4" s="11">
        <v>50</v>
      </c>
      <c r="F4" s="12"/>
      <c r="G4" s="13">
        <f>Table6[[#This Row],[BOT COST]]/(Table6[[#This Row],[BOTTLE SIZE
(ML)]]*0.033814)</f>
        <v>1.9715699611600719</v>
      </c>
      <c r="H4" s="13">
        <f>1.5*Table6[[#This Row],[COST / OUNCE
---
DO NOT EDIT]]</f>
        <v>2.9573549417401077</v>
      </c>
      <c r="I4" s="67">
        <v>17</v>
      </c>
      <c r="J4" s="14">
        <f>Table6[[#This Row],[COST / SERVING
---
DO NOT EDIT]]/Table6[[#This Row],[MENU PRICE]]</f>
        <v>0.17396205539647691</v>
      </c>
      <c r="K4" s="15"/>
      <c r="L4" s="16">
        <f>Table6[[#This Row],[BOT COST]]*Table6[[#This Row],[ORDER QUANTITY]]</f>
        <v>0</v>
      </c>
      <c r="M4" s="41"/>
      <c r="N4" s="41"/>
    </row>
    <row r="5" spans="2:14" ht="20" customHeight="1" x14ac:dyDescent="0.2">
      <c r="B5" s="46" t="s">
        <v>27</v>
      </c>
      <c r="C5" s="43" t="s">
        <v>31</v>
      </c>
      <c r="D5" s="17">
        <v>1000</v>
      </c>
      <c r="E5" s="23">
        <v>26</v>
      </c>
      <c r="F5" s="24" t="s">
        <v>32</v>
      </c>
      <c r="G5" s="19">
        <f>Table6[[#This Row],[BOT COST]]/(Table6[[#This Row],[BOTTLE SIZE
(ML)]]*0.033814)</f>
        <v>0.76891228485242802</v>
      </c>
      <c r="H5" s="19">
        <f>1.5*Table6[[#This Row],[COST / OUNCE
---
DO NOT EDIT]]</f>
        <v>1.153368427278642</v>
      </c>
      <c r="I5" s="68">
        <v>14</v>
      </c>
      <c r="J5" s="20">
        <f>Table6[[#This Row],[COST / SERVING
---
DO NOT EDIT]]/Table6[[#This Row],[MENU PRICE]]</f>
        <v>8.2383459091331573E-2</v>
      </c>
      <c r="K5" s="21"/>
      <c r="L5" s="22">
        <f>Table6[[#This Row],[BOT COST]]*Table6[[#This Row],[ORDER QUANTITY]]</f>
        <v>0</v>
      </c>
      <c r="M5" s="41"/>
      <c r="N5" s="43"/>
    </row>
    <row r="6" spans="2:14" ht="20" customHeight="1" x14ac:dyDescent="0.2">
      <c r="B6" s="46" t="s">
        <v>27</v>
      </c>
      <c r="C6" s="49" t="s">
        <v>28</v>
      </c>
      <c r="D6" s="52">
        <v>1000</v>
      </c>
      <c r="E6" s="23">
        <v>30</v>
      </c>
      <c r="F6" s="24" t="s">
        <v>29</v>
      </c>
      <c r="G6" s="19">
        <f>Table6[[#This Row],[BOT COST]]/(Table6[[#This Row],[BOTTLE SIZE
(ML)]]*0.033814)</f>
        <v>0.88720648252203227</v>
      </c>
      <c r="H6" s="19">
        <f>1.5*Table6[[#This Row],[COST / OUNCE
---
DO NOT EDIT]]</f>
        <v>1.3308097237830485</v>
      </c>
      <c r="I6" s="67">
        <v>14</v>
      </c>
      <c r="J6" s="20">
        <f>Table6[[#This Row],[COST / SERVING
---
DO NOT EDIT]]/Table6[[#This Row],[MENU PRICE]]</f>
        <v>9.50578374130749E-2</v>
      </c>
      <c r="K6" s="21"/>
      <c r="L6" s="22">
        <f>Table6[[#This Row],[BOT COST]]*Table6[[#This Row],[ORDER QUANTITY]]</f>
        <v>0</v>
      </c>
      <c r="M6" s="43"/>
      <c r="N6" s="43"/>
    </row>
    <row r="7" spans="2:14" ht="20" customHeight="1" x14ac:dyDescent="0.2">
      <c r="B7" s="46" t="s">
        <v>27</v>
      </c>
      <c r="C7" s="43"/>
      <c r="D7" s="17"/>
      <c r="E7" s="23"/>
      <c r="F7" s="24"/>
      <c r="G7" s="19" t="e">
        <f>Table6[[#This Row],[BOT COST]]/(Table6[[#This Row],[BOTTLE SIZE
(ML)]]*0.033814)</f>
        <v>#DIV/0!</v>
      </c>
      <c r="H7" s="19" t="e">
        <f>1.5*Table6[[#This Row],[COST / OUNCE
---
DO NOT EDIT]]</f>
        <v>#DIV/0!</v>
      </c>
      <c r="I7" s="68"/>
      <c r="J7" s="20" t="e">
        <f>Table6[[#This Row],[COST / SERVING
---
DO NOT EDIT]]/Table6[[#This Row],[MENU PRICE]]</f>
        <v>#DIV/0!</v>
      </c>
      <c r="K7" s="21"/>
      <c r="L7" s="22">
        <f>Table6[[#This Row],[BOT COST]]*Table6[[#This Row],[ORDER QUANTITY]]</f>
        <v>0</v>
      </c>
      <c r="M7" s="43"/>
      <c r="N7" s="43"/>
    </row>
    <row r="8" spans="2:14" ht="20" customHeight="1" x14ac:dyDescent="0.2">
      <c r="B8" s="46" t="s">
        <v>27</v>
      </c>
      <c r="C8" s="43"/>
      <c r="D8" s="17"/>
      <c r="E8" s="23"/>
      <c r="F8" s="24"/>
      <c r="G8" s="19" t="e">
        <f>Table6[[#This Row],[BOT COST]]/(Table6[[#This Row],[BOTTLE SIZE
(ML)]]*0.033814)</f>
        <v>#DIV/0!</v>
      </c>
      <c r="H8" s="19" t="e">
        <f>1.5*Table6[[#This Row],[COST / OUNCE
---
DO NOT EDIT]]</f>
        <v>#DIV/0!</v>
      </c>
      <c r="I8" s="68"/>
      <c r="J8" s="20" t="e">
        <f>Table6[[#This Row],[COST / SERVING
---
DO NOT EDIT]]/Table6[[#This Row],[MENU PRICE]]</f>
        <v>#DIV/0!</v>
      </c>
      <c r="K8" s="21"/>
      <c r="L8" s="22">
        <f>Table6[[#This Row],[BOT COST]]*Table6[[#This Row],[ORDER QUANTITY]]</f>
        <v>0</v>
      </c>
      <c r="M8" s="43"/>
      <c r="N8" s="43"/>
    </row>
    <row r="9" spans="2:14" ht="20" customHeight="1" x14ac:dyDescent="0.2">
      <c r="B9" s="46" t="s">
        <v>27</v>
      </c>
      <c r="C9" s="43"/>
      <c r="D9" s="17"/>
      <c r="E9" s="23"/>
      <c r="F9" s="24"/>
      <c r="G9" s="19" t="e">
        <f>Table6[[#This Row],[BOT COST]]/(Table6[[#This Row],[BOTTLE SIZE
(ML)]]*0.033814)</f>
        <v>#DIV/0!</v>
      </c>
      <c r="H9" s="19" t="e">
        <f>1.5*Table6[[#This Row],[COST / OUNCE
---
DO NOT EDIT]]</f>
        <v>#DIV/0!</v>
      </c>
      <c r="I9" s="68"/>
      <c r="J9" s="20" t="e">
        <f>Table6[[#This Row],[COST / SERVING
---
DO NOT EDIT]]/Table6[[#This Row],[MENU PRICE]]</f>
        <v>#DIV/0!</v>
      </c>
      <c r="K9" s="21"/>
      <c r="L9" s="22">
        <f>Table6[[#This Row],[BOT COST]]*Table6[[#This Row],[ORDER QUANTITY]]</f>
        <v>0</v>
      </c>
      <c r="M9" s="43"/>
      <c r="N9" s="43"/>
    </row>
    <row r="10" spans="2:14" ht="20" customHeight="1" x14ac:dyDescent="0.2">
      <c r="B10" s="44" t="s">
        <v>33</v>
      </c>
      <c r="C10" s="46" t="s">
        <v>34</v>
      </c>
      <c r="D10" s="10">
        <v>1000</v>
      </c>
      <c r="E10" s="11">
        <v>24</v>
      </c>
      <c r="F10" s="12" t="s">
        <v>35</v>
      </c>
      <c r="G10" s="13">
        <f>Table6[[#This Row],[BOT COST]]/(Table6[[#This Row],[BOTTLE SIZE
(ML)]]*0.033814)</f>
        <v>0.70976518601762584</v>
      </c>
      <c r="H10" s="13">
        <f>1.5*Table6[[#This Row],[COST / OUNCE
---
DO NOT EDIT]]</f>
        <v>1.0646477790264388</v>
      </c>
      <c r="I10" s="67">
        <v>14</v>
      </c>
      <c r="J10" s="14">
        <f>Table6[[#This Row],[COST / SERVING
---
DO NOT EDIT]]/Table6[[#This Row],[MENU PRICE]]</f>
        <v>7.6046269930459917E-2</v>
      </c>
      <c r="K10" s="15"/>
      <c r="L10" s="16">
        <f>Table6[[#This Row],[BOT COST]]*Table6[[#This Row],[ORDER QUANTITY]]</f>
        <v>0</v>
      </c>
      <c r="M10" s="41"/>
      <c r="N10" s="41"/>
    </row>
    <row r="11" spans="2:14" ht="20" customHeight="1" x14ac:dyDescent="0.2">
      <c r="B11" s="46" t="s">
        <v>33</v>
      </c>
      <c r="C11" s="41" t="s">
        <v>36</v>
      </c>
      <c r="D11" s="26">
        <v>1000</v>
      </c>
      <c r="E11" s="11">
        <v>37</v>
      </c>
      <c r="F11" s="12" t="s">
        <v>29</v>
      </c>
      <c r="G11" s="13">
        <f>Table6[[#This Row],[BOT COST]]/(Table6[[#This Row],[BOTTLE SIZE
(ML)]]*0.033814)</f>
        <v>1.0942213284438398</v>
      </c>
      <c r="H11" s="13">
        <f>1.5*Table6[[#This Row],[COST / OUNCE
---
DO NOT EDIT]]</f>
        <v>1.6413319926657597</v>
      </c>
      <c r="I11" s="67">
        <v>15</v>
      </c>
      <c r="J11" s="14">
        <f>Table6[[#This Row],[COST / SERVING
---
DO NOT EDIT]]/Table6[[#This Row],[MENU PRICE]]</f>
        <v>0.10942213284438398</v>
      </c>
      <c r="K11" s="15"/>
      <c r="L11" s="16">
        <f>Table6[[#This Row],[BOT COST]]*Table6[[#This Row],[ORDER QUANTITY]]</f>
        <v>0</v>
      </c>
      <c r="M11" s="41"/>
      <c r="N11" s="41"/>
    </row>
    <row r="12" spans="2:14" ht="20" customHeight="1" x14ac:dyDescent="0.2">
      <c r="B12" s="46" t="s">
        <v>33</v>
      </c>
      <c r="C12" s="43"/>
      <c r="D12" s="17"/>
      <c r="E12" s="23"/>
      <c r="F12" s="24"/>
      <c r="G12" s="19" t="e">
        <f>Table6[[#This Row],[BOT COST]]/(Table6[[#This Row],[BOTTLE SIZE
(ML)]]*0.033814)</f>
        <v>#DIV/0!</v>
      </c>
      <c r="H12" s="19" t="e">
        <f>1.5*Table6[[#This Row],[COST / OUNCE
---
DO NOT EDIT]]</f>
        <v>#DIV/0!</v>
      </c>
      <c r="I12" s="68"/>
      <c r="J12" s="20" t="e">
        <f>Table6[[#This Row],[COST / SERVING
---
DO NOT EDIT]]/Table6[[#This Row],[MENU PRICE]]</f>
        <v>#DIV/0!</v>
      </c>
      <c r="K12" s="21"/>
      <c r="L12" s="22">
        <f>Table6[[#This Row],[BOT COST]]*Table6[[#This Row],[ORDER QUANTITY]]</f>
        <v>0</v>
      </c>
      <c r="M12" s="43"/>
      <c r="N12" s="43"/>
    </row>
    <row r="13" spans="2:14" ht="20" customHeight="1" x14ac:dyDescent="0.2">
      <c r="B13" s="46" t="s">
        <v>33</v>
      </c>
      <c r="C13" s="43"/>
      <c r="D13" s="17"/>
      <c r="E13" s="23"/>
      <c r="F13" s="24"/>
      <c r="G13" s="19" t="e">
        <f>Table6[[#This Row],[BOT COST]]/(Table6[[#This Row],[BOTTLE SIZE
(ML)]]*0.033814)</f>
        <v>#DIV/0!</v>
      </c>
      <c r="H13" s="19" t="e">
        <f>1.5*Table6[[#This Row],[COST / OUNCE
---
DO NOT EDIT]]</f>
        <v>#DIV/0!</v>
      </c>
      <c r="I13" s="68"/>
      <c r="J13" s="20" t="e">
        <f>Table6[[#This Row],[COST / SERVING
---
DO NOT EDIT]]/Table6[[#This Row],[MENU PRICE]]</f>
        <v>#DIV/0!</v>
      </c>
      <c r="K13" s="21"/>
      <c r="L13" s="22">
        <f>Table6[[#This Row],[BOT COST]]*Table6[[#This Row],[ORDER QUANTITY]]</f>
        <v>0</v>
      </c>
      <c r="M13" s="43"/>
      <c r="N13" s="43"/>
    </row>
    <row r="14" spans="2:14" ht="20" customHeight="1" x14ac:dyDescent="0.2">
      <c r="B14" s="46" t="s">
        <v>33</v>
      </c>
      <c r="C14" s="43"/>
      <c r="D14" s="17"/>
      <c r="E14" s="23"/>
      <c r="F14" s="24"/>
      <c r="G14" s="19" t="e">
        <f>Table6[[#This Row],[BOT COST]]/(Table6[[#This Row],[BOTTLE SIZE
(ML)]]*0.033814)</f>
        <v>#DIV/0!</v>
      </c>
      <c r="H14" s="19" t="e">
        <f>1.5*Table6[[#This Row],[COST / OUNCE
---
DO NOT EDIT]]</f>
        <v>#DIV/0!</v>
      </c>
      <c r="I14" s="68"/>
      <c r="J14" s="20" t="e">
        <f>Table6[[#This Row],[COST / SERVING
---
DO NOT EDIT]]/Table6[[#This Row],[MENU PRICE]]</f>
        <v>#DIV/0!</v>
      </c>
      <c r="K14" s="21"/>
      <c r="L14" s="22">
        <f>Table6[[#This Row],[BOT COST]]*Table6[[#This Row],[ORDER QUANTITY]]</f>
        <v>0</v>
      </c>
      <c r="M14" s="43"/>
      <c r="N14" s="43"/>
    </row>
    <row r="15" spans="2:14" ht="20" customHeight="1" x14ac:dyDescent="0.2">
      <c r="B15" s="46" t="s">
        <v>37</v>
      </c>
      <c r="C15" s="47" t="s">
        <v>83</v>
      </c>
      <c r="D15" s="27">
        <v>1000</v>
      </c>
      <c r="E15" s="23">
        <v>13</v>
      </c>
      <c r="F15" s="24"/>
      <c r="G15" s="19">
        <f>Table6[[#This Row],[BOT COST]]/(Table6[[#This Row],[BOTTLE SIZE
(ML)]]*0.033814)</f>
        <v>0.38445614242621401</v>
      </c>
      <c r="H15" s="19">
        <f>1.5*Table6[[#This Row],[COST / OUNCE
---
DO NOT EDIT]]</f>
        <v>0.57668421363932099</v>
      </c>
      <c r="I15" s="67">
        <v>12</v>
      </c>
      <c r="J15" s="20">
        <f>Table6[[#This Row],[COST / SERVING
---
DO NOT EDIT]]/Table6[[#This Row],[MENU PRICE]]</f>
        <v>4.8057017803276751E-2</v>
      </c>
      <c r="K15" s="21"/>
      <c r="L15" s="22">
        <f>Table6[[#This Row],[BOT COST]]*Table6[[#This Row],[ORDER QUANTITY]]</f>
        <v>0</v>
      </c>
      <c r="M15" s="41"/>
      <c r="N15" s="43"/>
    </row>
    <row r="16" spans="2:14" ht="20" customHeight="1" x14ac:dyDescent="0.2">
      <c r="B16" s="46" t="s">
        <v>37</v>
      </c>
      <c r="C16" s="47" t="s">
        <v>84</v>
      </c>
      <c r="D16" s="27">
        <v>1000</v>
      </c>
      <c r="E16" s="23">
        <v>13</v>
      </c>
      <c r="F16" s="24"/>
      <c r="G16" s="19">
        <f>Table6[[#This Row],[BOT COST]]/(Table6[[#This Row],[BOTTLE SIZE
(ML)]]*0.033814)</f>
        <v>0.38445614242621401</v>
      </c>
      <c r="H16" s="19">
        <f>1.5*Table6[[#This Row],[COST / OUNCE
---
DO NOT EDIT]]</f>
        <v>0.57668421363932099</v>
      </c>
      <c r="I16" s="67">
        <v>12</v>
      </c>
      <c r="J16" s="20">
        <f>Table6[[#This Row],[COST / SERVING
---
DO NOT EDIT]]/Table6[[#This Row],[MENU PRICE]]</f>
        <v>4.8057017803276751E-2</v>
      </c>
      <c r="K16" s="21"/>
      <c r="L16" s="22">
        <f>Table6[[#This Row],[BOT COST]]*Table6[[#This Row],[ORDER QUANTITY]]</f>
        <v>0</v>
      </c>
      <c r="M16" s="43"/>
      <c r="N16" s="43"/>
    </row>
    <row r="17" spans="2:14" ht="20" customHeight="1" x14ac:dyDescent="0.2">
      <c r="B17" s="46" t="s">
        <v>37</v>
      </c>
      <c r="C17" s="47"/>
      <c r="D17" s="17"/>
      <c r="E17" s="23"/>
      <c r="F17" s="24"/>
      <c r="G17" s="19" t="e">
        <f>Table6[[#This Row],[BOT COST]]/(Table6[[#This Row],[BOTTLE SIZE
(ML)]]*0.033814)</f>
        <v>#DIV/0!</v>
      </c>
      <c r="H17" s="19" t="e">
        <f>1.5*Table6[[#This Row],[COST / OUNCE
---
DO NOT EDIT]]</f>
        <v>#DIV/0!</v>
      </c>
      <c r="I17" s="68"/>
      <c r="J17" s="20" t="e">
        <f>Table6[[#This Row],[COST / SERVING
---
DO NOT EDIT]]/Table6[[#This Row],[MENU PRICE]]</f>
        <v>#DIV/0!</v>
      </c>
      <c r="K17" s="21"/>
      <c r="L17" s="22">
        <f>Table6[[#This Row],[BOT COST]]*Table6[[#This Row],[ORDER QUANTITY]]</f>
        <v>0</v>
      </c>
      <c r="M17" s="43"/>
      <c r="N17" s="43"/>
    </row>
    <row r="18" spans="2:14" ht="20" customHeight="1" x14ac:dyDescent="0.2">
      <c r="B18" s="46" t="s">
        <v>37</v>
      </c>
      <c r="C18" s="47"/>
      <c r="D18" s="17"/>
      <c r="E18" s="23"/>
      <c r="F18" s="24"/>
      <c r="G18" s="19" t="e">
        <f>Table6[[#This Row],[BOT COST]]/(Table6[[#This Row],[BOTTLE SIZE
(ML)]]*0.033814)</f>
        <v>#DIV/0!</v>
      </c>
      <c r="H18" s="19" t="e">
        <f>1.5*Table6[[#This Row],[COST / OUNCE
---
DO NOT EDIT]]</f>
        <v>#DIV/0!</v>
      </c>
      <c r="I18" s="68"/>
      <c r="J18" s="20" t="e">
        <f>Table6[[#This Row],[COST / SERVING
---
DO NOT EDIT]]/Table6[[#This Row],[MENU PRICE]]</f>
        <v>#DIV/0!</v>
      </c>
      <c r="K18" s="21"/>
      <c r="L18" s="22">
        <f>Table6[[#This Row],[BOT COST]]*Table6[[#This Row],[ORDER QUANTITY]]</f>
        <v>0</v>
      </c>
      <c r="M18" s="43"/>
      <c r="N18" s="43"/>
    </row>
    <row r="19" spans="2:14" ht="20" customHeight="1" x14ac:dyDescent="0.2">
      <c r="B19" s="46" t="s">
        <v>37</v>
      </c>
      <c r="C19" s="47"/>
      <c r="D19" s="17"/>
      <c r="E19" s="23"/>
      <c r="F19" s="24"/>
      <c r="G19" s="19" t="e">
        <f>Table6[[#This Row],[BOT COST]]/(Table6[[#This Row],[BOTTLE SIZE
(ML)]]*0.033814)</f>
        <v>#DIV/0!</v>
      </c>
      <c r="H19" s="19" t="e">
        <f>1.5*Table6[[#This Row],[COST / OUNCE
---
DO NOT EDIT]]</f>
        <v>#DIV/0!</v>
      </c>
      <c r="I19" s="68"/>
      <c r="J19" s="20" t="e">
        <f>Table6[[#This Row],[COST / SERVING
---
DO NOT EDIT]]/Table6[[#This Row],[MENU PRICE]]</f>
        <v>#DIV/0!</v>
      </c>
      <c r="K19" s="21"/>
      <c r="L19" s="22">
        <f>Table6[[#This Row],[BOT COST]]*Table6[[#This Row],[ORDER QUANTITY]]</f>
        <v>0</v>
      </c>
      <c r="M19" s="43"/>
      <c r="N19" s="43"/>
    </row>
    <row r="20" spans="2:14" ht="20" customHeight="1" x14ac:dyDescent="0.2">
      <c r="B20" s="51" t="s">
        <v>38</v>
      </c>
      <c r="C20" s="49" t="s">
        <v>39</v>
      </c>
      <c r="D20" s="17">
        <v>3600</v>
      </c>
      <c r="E20" s="23">
        <v>16</v>
      </c>
      <c r="F20" s="24" t="s">
        <v>41</v>
      </c>
      <c r="G20" s="19">
        <f>Table6[[#This Row],[BOT COST]]/(Table6[[#This Row],[BOTTLE SIZE
(ML)]]*0.033814)</f>
        <v>0.13143799741067147</v>
      </c>
      <c r="H20" s="19">
        <f>1.5*Table6[[#This Row],[COST / OUNCE
---
DO NOT EDIT]]</f>
        <v>0.1971569961160072</v>
      </c>
      <c r="I20" s="68"/>
      <c r="J20" s="20" t="e">
        <f>Table6[[#This Row],[COST / SERVING
---
DO NOT EDIT]]/Table6[[#This Row],[MENU PRICE]]</f>
        <v>#DIV/0!</v>
      </c>
      <c r="K20" s="21"/>
      <c r="L20" s="22">
        <f>Table6[[#This Row],[BOT COST]]*Table6[[#This Row],[ORDER QUANTITY]]</f>
        <v>0</v>
      </c>
      <c r="M20" s="43"/>
      <c r="N20" s="43"/>
    </row>
    <row r="21" spans="2:14" ht="20" customHeight="1" x14ac:dyDescent="0.2">
      <c r="B21" s="44" t="s">
        <v>38</v>
      </c>
      <c r="C21" s="43" t="s">
        <v>40</v>
      </c>
      <c r="D21" s="17">
        <v>4800</v>
      </c>
      <c r="E21" s="23">
        <v>24</v>
      </c>
      <c r="F21" s="24" t="s">
        <v>41</v>
      </c>
      <c r="G21" s="19">
        <f>Table6[[#This Row],[BOT COST]]/(Table6[[#This Row],[BOTTLE SIZE
(ML)]]*0.033814)</f>
        <v>0.1478677470870054</v>
      </c>
      <c r="H21" s="19">
        <f>1.5*Table6[[#This Row],[COST / OUNCE
---
DO NOT EDIT]]</f>
        <v>0.2218016206305081</v>
      </c>
      <c r="I21" s="68"/>
      <c r="J21" s="20" t="e">
        <f>Table6[[#This Row],[COST / SERVING
---
DO NOT EDIT]]/Table6[[#This Row],[MENU PRICE]]</f>
        <v>#DIV/0!</v>
      </c>
      <c r="K21" s="21"/>
      <c r="L21" s="22">
        <f>Table6[[#This Row],[BOT COST]]*Table6[[#This Row],[ORDER QUANTITY]]</f>
        <v>0</v>
      </c>
      <c r="M21" s="43"/>
      <c r="N21" s="43"/>
    </row>
    <row r="22" spans="2:14" ht="20" customHeight="1" x14ac:dyDescent="0.2">
      <c r="B22" s="44" t="s">
        <v>38</v>
      </c>
      <c r="C22" s="44" t="s">
        <v>42</v>
      </c>
      <c r="D22" s="10">
        <v>4800</v>
      </c>
      <c r="E22" s="11">
        <v>24</v>
      </c>
      <c r="F22" s="12" t="s">
        <v>41</v>
      </c>
      <c r="G22" s="13">
        <f>Table6[[#This Row],[BOT COST]]/(Table6[[#This Row],[BOTTLE SIZE
(ML)]]*0.033814)</f>
        <v>0.1478677470870054</v>
      </c>
      <c r="H22" s="13">
        <f>1.5*Table6[[#This Row],[COST / OUNCE
---
DO NOT EDIT]]</f>
        <v>0.2218016206305081</v>
      </c>
      <c r="I22" s="68"/>
      <c r="J22" s="14" t="e">
        <f>Table6[[#This Row],[COST / SERVING
---
DO NOT EDIT]]/Table6[[#This Row],[MENU PRICE]]</f>
        <v>#DIV/0!</v>
      </c>
      <c r="K22" s="15"/>
      <c r="L22" s="16">
        <f>Table6[[#This Row],[BOT COST]]*Table6[[#This Row],[ORDER QUANTITY]]</f>
        <v>0</v>
      </c>
      <c r="M22" s="41"/>
      <c r="N22" s="41"/>
    </row>
    <row r="23" spans="2:14" ht="20" customHeight="1" x14ac:dyDescent="0.2">
      <c r="B23" s="44" t="s">
        <v>38</v>
      </c>
      <c r="C23" s="49" t="s">
        <v>43</v>
      </c>
      <c r="D23" s="17">
        <v>4800</v>
      </c>
      <c r="E23" s="23">
        <v>24</v>
      </c>
      <c r="F23" s="24" t="s">
        <v>41</v>
      </c>
      <c r="G23" s="19">
        <f>Table6[[#This Row],[BOT COST]]/(Table6[[#This Row],[BOTTLE SIZE
(ML)]]*0.033814)</f>
        <v>0.1478677470870054</v>
      </c>
      <c r="H23" s="19">
        <f>1.5*Table6[[#This Row],[COST / OUNCE
---
DO NOT EDIT]]</f>
        <v>0.2218016206305081</v>
      </c>
      <c r="I23" s="68"/>
      <c r="J23" s="20" t="e">
        <f>Table6[[#This Row],[COST / SERVING
---
DO NOT EDIT]]/Table6[[#This Row],[MENU PRICE]]</f>
        <v>#DIV/0!</v>
      </c>
      <c r="K23" s="21"/>
      <c r="L23" s="22">
        <f>Table6[[#This Row],[BOT COST]]*Table6[[#This Row],[ORDER QUANTITY]]</f>
        <v>0</v>
      </c>
      <c r="M23" s="43"/>
      <c r="N23" s="43"/>
    </row>
    <row r="24" spans="2:14" ht="20" customHeight="1" x14ac:dyDescent="0.2">
      <c r="B24" s="44" t="s">
        <v>38</v>
      </c>
      <c r="C24" s="43"/>
      <c r="D24" s="17"/>
      <c r="E24" s="23"/>
      <c r="F24" s="24"/>
      <c r="G24" s="19" t="e">
        <f>Table6[[#This Row],[BOT COST]]/(Table6[[#This Row],[BOTTLE SIZE
(ML)]]*0.033814)</f>
        <v>#DIV/0!</v>
      </c>
      <c r="H24" s="19" t="e">
        <f>1.5*Table6[[#This Row],[COST / OUNCE
---
DO NOT EDIT]]</f>
        <v>#DIV/0!</v>
      </c>
      <c r="I24" s="68"/>
      <c r="J24" s="20" t="e">
        <f>Table6[[#This Row],[COST / SERVING
---
DO NOT EDIT]]/Table6[[#This Row],[MENU PRICE]]</f>
        <v>#DIV/0!</v>
      </c>
      <c r="K24" s="21"/>
      <c r="L24" s="22">
        <f>Table6[[#This Row],[BOT COST]]*Table6[[#This Row],[ORDER QUANTITY]]</f>
        <v>0</v>
      </c>
      <c r="M24" s="43"/>
      <c r="N24" s="43"/>
    </row>
    <row r="25" spans="2:14" ht="20" customHeight="1" x14ac:dyDescent="0.2">
      <c r="B25" s="44" t="s">
        <v>38</v>
      </c>
      <c r="C25" s="43"/>
      <c r="D25" s="17"/>
      <c r="E25" s="23"/>
      <c r="F25" s="24"/>
      <c r="G25" s="19" t="e">
        <f>Table6[[#This Row],[BOT COST]]/(Table6[[#This Row],[BOTTLE SIZE
(ML)]]*0.033814)</f>
        <v>#DIV/0!</v>
      </c>
      <c r="H25" s="19" t="e">
        <f>1.5*Table6[[#This Row],[COST / OUNCE
---
DO NOT EDIT]]</f>
        <v>#DIV/0!</v>
      </c>
      <c r="I25" s="68"/>
      <c r="J25" s="20" t="e">
        <f>Table6[[#This Row],[COST / SERVING
---
DO NOT EDIT]]/Table6[[#This Row],[MENU PRICE]]</f>
        <v>#DIV/0!</v>
      </c>
      <c r="K25" s="21"/>
      <c r="L25" s="22">
        <f>Table6[[#This Row],[BOT COST]]*Table6[[#This Row],[ORDER QUANTITY]]</f>
        <v>0</v>
      </c>
      <c r="M25" s="43"/>
      <c r="N25" s="43"/>
    </row>
    <row r="26" spans="2:14" ht="20" customHeight="1" x14ac:dyDescent="0.2">
      <c r="B26" s="44" t="s">
        <v>38</v>
      </c>
      <c r="C26" s="43"/>
      <c r="D26" s="17"/>
      <c r="E26" s="23"/>
      <c r="F26" s="24"/>
      <c r="G26" s="19" t="e">
        <f>Table6[[#This Row],[BOT COST]]/(Table6[[#This Row],[BOTTLE SIZE
(ML)]]*0.033814)</f>
        <v>#DIV/0!</v>
      </c>
      <c r="H26" s="19" t="e">
        <f>1.5*Table6[[#This Row],[COST / OUNCE
---
DO NOT EDIT]]</f>
        <v>#DIV/0!</v>
      </c>
      <c r="I26" s="68"/>
      <c r="J26" s="20" t="e">
        <f>Table6[[#This Row],[COST / SERVING
---
DO NOT EDIT]]/Table6[[#This Row],[MENU PRICE]]</f>
        <v>#DIV/0!</v>
      </c>
      <c r="K26" s="21"/>
      <c r="L26" s="22">
        <f>Table6[[#This Row],[BOT COST]]*Table6[[#This Row],[ORDER QUANTITY]]</f>
        <v>0</v>
      </c>
      <c r="M26" s="43"/>
      <c r="N26" s="43"/>
    </row>
    <row r="27" spans="2:14" ht="20" customHeight="1" x14ac:dyDescent="0.2">
      <c r="B27" s="44" t="s">
        <v>44</v>
      </c>
      <c r="C27" s="49" t="s">
        <v>46</v>
      </c>
      <c r="D27" s="52">
        <v>147</v>
      </c>
      <c r="E27" s="23">
        <v>6</v>
      </c>
      <c r="F27" s="24"/>
      <c r="G27" s="19">
        <f>Table6[[#This Row],[BOT COST]]/(Table6[[#This Row],[BOTTLE SIZE
(ML)]]*0.033814)</f>
        <v>1.2070836496898401</v>
      </c>
      <c r="H27" s="19">
        <f>1.5*Table6[[#This Row],[COST / OUNCE
---
DO NOT EDIT]]</f>
        <v>1.8106254745347601</v>
      </c>
      <c r="I27" s="68"/>
      <c r="J27" s="20" t="e">
        <f>Table6[[#This Row],[COST / SERVING
---
DO NOT EDIT]]/Table6[[#This Row],[MENU PRICE]]</f>
        <v>#DIV/0!</v>
      </c>
      <c r="K27" s="21"/>
      <c r="L27" s="22">
        <f>Table6[[#This Row],[BOT COST]]*Table6[[#This Row],[ORDER QUANTITY]]</f>
        <v>0</v>
      </c>
      <c r="M27" s="43"/>
      <c r="N27" s="43"/>
    </row>
    <row r="28" spans="2:14" ht="20" customHeight="1" x14ac:dyDescent="0.2">
      <c r="B28" s="44" t="s">
        <v>44</v>
      </c>
      <c r="C28" s="49" t="s">
        <v>47</v>
      </c>
      <c r="D28" s="52">
        <v>147</v>
      </c>
      <c r="E28" s="23">
        <v>7</v>
      </c>
      <c r="F28" s="24"/>
      <c r="G28" s="19">
        <f>Table6[[#This Row],[BOT COST]]/(Table6[[#This Row],[BOTTLE SIZE
(ML)]]*0.033814)</f>
        <v>1.4082642579714799</v>
      </c>
      <c r="H28" s="19">
        <f>1.5*Table6[[#This Row],[COST / OUNCE
---
DO NOT EDIT]]</f>
        <v>2.11239638695722</v>
      </c>
      <c r="I28" s="68"/>
      <c r="J28" s="20" t="e">
        <f>Table6[[#This Row],[COST / SERVING
---
DO NOT EDIT]]/Table6[[#This Row],[MENU PRICE]]</f>
        <v>#DIV/0!</v>
      </c>
      <c r="K28" s="21"/>
      <c r="L28" s="22">
        <f>Table6[[#This Row],[BOT COST]]*Table6[[#This Row],[ORDER QUANTITY]]</f>
        <v>0</v>
      </c>
      <c r="M28" s="43"/>
      <c r="N28" s="43"/>
    </row>
    <row r="29" spans="2:14" ht="20" customHeight="1" x14ac:dyDescent="0.2">
      <c r="B29" s="44" t="s">
        <v>44</v>
      </c>
      <c r="C29" s="44" t="s">
        <v>45</v>
      </c>
      <c r="D29" s="45">
        <v>500</v>
      </c>
      <c r="E29" s="11">
        <v>25</v>
      </c>
      <c r="F29" s="12"/>
      <c r="G29" s="13">
        <f>Table6[[#This Row],[BOT COST]]/(Table6[[#This Row],[BOTTLE SIZE
(ML)]]*0.033814)</f>
        <v>1.4786774708700539</v>
      </c>
      <c r="H29" s="13">
        <f>1.5*Table6[[#This Row],[COST / OUNCE
---
DO NOT EDIT]]</f>
        <v>2.218016206305081</v>
      </c>
      <c r="I29" s="68"/>
      <c r="J29" s="14" t="e">
        <f>Table6[[#This Row],[COST / SERVING
---
DO NOT EDIT]]/Table6[[#This Row],[MENU PRICE]]</f>
        <v>#DIV/0!</v>
      </c>
      <c r="K29" s="15"/>
      <c r="L29" s="16">
        <f>Table6[[#This Row],[BOT COST]]*Table6[[#This Row],[ORDER QUANTITY]]</f>
        <v>0</v>
      </c>
      <c r="M29" s="43"/>
      <c r="N29" s="41"/>
    </row>
    <row r="30" spans="2:14" ht="20" customHeight="1" x14ac:dyDescent="0.2">
      <c r="B30" s="44" t="s">
        <v>44</v>
      </c>
      <c r="C30" s="43"/>
      <c r="D30" s="17"/>
      <c r="E30" s="23"/>
      <c r="F30" s="24"/>
      <c r="G30" s="19" t="e">
        <f>Table6[[#This Row],[BOT COST]]/(Table6[[#This Row],[BOTTLE SIZE
(ML)]]*0.033814)</f>
        <v>#DIV/0!</v>
      </c>
      <c r="H30" s="19" t="e">
        <f>1.5*Table6[[#This Row],[COST / OUNCE
---
DO NOT EDIT]]</f>
        <v>#DIV/0!</v>
      </c>
      <c r="I30" s="68"/>
      <c r="J30" s="20" t="e">
        <f>Table6[[#This Row],[COST / SERVING
---
DO NOT EDIT]]/Table6[[#This Row],[MENU PRICE]]</f>
        <v>#DIV/0!</v>
      </c>
      <c r="K30" s="21"/>
      <c r="L30" s="22">
        <f>Table6[[#This Row],[BOT COST]]*Table6[[#This Row],[ORDER QUANTITY]]</f>
        <v>0</v>
      </c>
      <c r="M30" s="43"/>
      <c r="N30" s="43"/>
    </row>
    <row r="31" spans="2:14" ht="20" customHeight="1" x14ac:dyDescent="0.2">
      <c r="B31" s="44" t="s">
        <v>44</v>
      </c>
      <c r="C31" s="43"/>
      <c r="D31" s="17"/>
      <c r="E31" s="23"/>
      <c r="F31" s="24"/>
      <c r="G31" s="19" t="e">
        <f>Table6[[#This Row],[BOT COST]]/(Table6[[#This Row],[BOTTLE SIZE
(ML)]]*0.033814)</f>
        <v>#DIV/0!</v>
      </c>
      <c r="H31" s="19" t="e">
        <f>1.5*Table6[[#This Row],[COST / OUNCE
---
DO NOT EDIT]]</f>
        <v>#DIV/0!</v>
      </c>
      <c r="I31" s="68"/>
      <c r="J31" s="20" t="e">
        <f>Table6[[#This Row],[COST / SERVING
---
DO NOT EDIT]]/Table6[[#This Row],[MENU PRICE]]</f>
        <v>#DIV/0!</v>
      </c>
      <c r="K31" s="21"/>
      <c r="L31" s="22">
        <f>Table6[[#This Row],[BOT COST]]*Table6[[#This Row],[ORDER QUANTITY]]</f>
        <v>0</v>
      </c>
      <c r="M31" s="43"/>
      <c r="N31" s="43"/>
    </row>
    <row r="32" spans="2:14" ht="20" customHeight="1" x14ac:dyDescent="0.2">
      <c r="B32" s="44" t="s">
        <v>44</v>
      </c>
      <c r="C32" s="43"/>
      <c r="D32" s="17"/>
      <c r="E32" s="23"/>
      <c r="F32" s="24"/>
      <c r="G32" s="19" t="e">
        <f>Table6[[#This Row],[BOT COST]]/(Table6[[#This Row],[BOTTLE SIZE
(ML)]]*0.033814)</f>
        <v>#DIV/0!</v>
      </c>
      <c r="H32" s="19" t="e">
        <f>1.5*Table6[[#This Row],[COST / OUNCE
---
DO NOT EDIT]]</f>
        <v>#DIV/0!</v>
      </c>
      <c r="I32" s="68"/>
      <c r="J32" s="20" t="e">
        <f>Table6[[#This Row],[COST / SERVING
---
DO NOT EDIT]]/Table6[[#This Row],[MENU PRICE]]</f>
        <v>#DIV/0!</v>
      </c>
      <c r="K32" s="21"/>
      <c r="L32" s="22">
        <f>Table6[[#This Row],[BOT COST]]*Table6[[#This Row],[ORDER QUANTITY]]</f>
        <v>0</v>
      </c>
      <c r="M32" s="43"/>
      <c r="N32" s="43"/>
    </row>
    <row r="33" spans="2:14" ht="20" customHeight="1" x14ac:dyDescent="0.2">
      <c r="B33" s="54" t="s">
        <v>48</v>
      </c>
      <c r="C33" s="43"/>
      <c r="D33" s="17"/>
      <c r="E33" s="23"/>
      <c r="F33" s="24"/>
      <c r="G33" s="19" t="e">
        <f>Table6[[#This Row],[BOT COST]]/(Table6[[#This Row],[BOTTLE SIZE
(ML)]]*0.033814)</f>
        <v>#DIV/0!</v>
      </c>
      <c r="H33" s="19" t="e">
        <f>1.5*Table6[[#This Row],[COST / OUNCE
---
DO NOT EDIT]]</f>
        <v>#DIV/0!</v>
      </c>
      <c r="I33" s="68"/>
      <c r="J33" s="20" t="e">
        <f>Table6[[#This Row],[COST / SERVING
---
DO NOT EDIT]]/Table6[[#This Row],[MENU PRICE]]</f>
        <v>#DIV/0!</v>
      </c>
      <c r="K33" s="21"/>
      <c r="L33" s="22">
        <f>Table6[[#This Row],[BOT COST]]*Table6[[#This Row],[ORDER QUANTITY]]</f>
        <v>0</v>
      </c>
      <c r="M33" s="43"/>
      <c r="N33" s="43"/>
    </row>
    <row r="34" spans="2:14" ht="20" customHeight="1" x14ac:dyDescent="0.2">
      <c r="B34" s="54" t="s">
        <v>48</v>
      </c>
      <c r="C34" s="43"/>
      <c r="D34" s="17"/>
      <c r="E34" s="23"/>
      <c r="F34" s="24"/>
      <c r="G34" s="19" t="e">
        <f>Table6[[#This Row],[BOT COST]]/(Table6[[#This Row],[BOTTLE SIZE
(ML)]]*0.033814)</f>
        <v>#DIV/0!</v>
      </c>
      <c r="H34" s="19" t="e">
        <f>1.5*Table6[[#This Row],[COST / OUNCE
---
DO NOT EDIT]]</f>
        <v>#DIV/0!</v>
      </c>
      <c r="I34" s="68"/>
      <c r="J34" s="20" t="e">
        <f>Table6[[#This Row],[COST / SERVING
---
DO NOT EDIT]]/Table6[[#This Row],[MENU PRICE]]</f>
        <v>#DIV/0!</v>
      </c>
      <c r="K34" s="21"/>
      <c r="L34" s="22">
        <f>Table6[[#This Row],[BOT COST]]*Table6[[#This Row],[ORDER QUANTITY]]</f>
        <v>0</v>
      </c>
      <c r="M34" s="43"/>
      <c r="N34" s="43"/>
    </row>
    <row r="35" spans="2:14" ht="20" customHeight="1" x14ac:dyDescent="0.2">
      <c r="B35" s="54" t="s">
        <v>49</v>
      </c>
      <c r="C35" s="43"/>
      <c r="D35" s="17"/>
      <c r="E35" s="23"/>
      <c r="F35" s="24"/>
      <c r="G35" s="19" t="e">
        <f>Table6[[#This Row],[BOT COST]]/(Table6[[#This Row],[BOTTLE SIZE
(ML)]]*0.033814)</f>
        <v>#DIV/0!</v>
      </c>
      <c r="H35" s="19" t="e">
        <f>1.5*Table6[[#This Row],[COST / OUNCE
---
DO NOT EDIT]]</f>
        <v>#DIV/0!</v>
      </c>
      <c r="I35" s="68"/>
      <c r="J35" s="20" t="e">
        <f>Table6[[#This Row],[COST / SERVING
---
DO NOT EDIT]]/Table6[[#This Row],[MENU PRICE]]</f>
        <v>#DIV/0!</v>
      </c>
      <c r="K35" s="21"/>
      <c r="L35" s="22">
        <f>Table6[[#This Row],[BOT COST]]*Table6[[#This Row],[ORDER QUANTITY]]</f>
        <v>0</v>
      </c>
      <c r="M35" s="43"/>
      <c r="N35" s="43"/>
    </row>
    <row r="36" spans="2:14" ht="20" customHeight="1" x14ac:dyDescent="0.2">
      <c r="B36" s="54" t="s">
        <v>49</v>
      </c>
      <c r="C36" s="43"/>
      <c r="D36" s="17"/>
      <c r="E36" s="23"/>
      <c r="F36" s="24"/>
      <c r="G36" s="19" t="e">
        <f>Table6[[#This Row],[BOT COST]]/(Table6[[#This Row],[BOTTLE SIZE
(ML)]]*0.033814)</f>
        <v>#DIV/0!</v>
      </c>
      <c r="H36" s="19" t="e">
        <f>1.5*Table6[[#This Row],[COST / OUNCE
---
DO NOT EDIT]]</f>
        <v>#DIV/0!</v>
      </c>
      <c r="I36" s="68"/>
      <c r="J36" s="20" t="e">
        <f>Table6[[#This Row],[COST / SERVING
---
DO NOT EDIT]]/Table6[[#This Row],[MENU PRICE]]</f>
        <v>#DIV/0!</v>
      </c>
      <c r="K36" s="21"/>
      <c r="L36" s="22">
        <f>Table6[[#This Row],[BOT COST]]*Table6[[#This Row],[ORDER QUANTITY]]</f>
        <v>0</v>
      </c>
      <c r="M36" s="43"/>
      <c r="N36" s="43"/>
    </row>
    <row r="37" spans="2:14" ht="20" customHeight="1" x14ac:dyDescent="0.2">
      <c r="B37" s="54" t="s">
        <v>50</v>
      </c>
      <c r="C37" s="43"/>
      <c r="D37" s="17"/>
      <c r="E37" s="23"/>
      <c r="F37" s="24"/>
      <c r="G37" s="19" t="e">
        <f>Table6[[#This Row],[BOT COST]]/(Table6[[#This Row],[BOTTLE SIZE
(ML)]]*0.033814)</f>
        <v>#DIV/0!</v>
      </c>
      <c r="H37" s="19" t="e">
        <f>1.5*Table6[[#This Row],[COST / OUNCE
---
DO NOT EDIT]]</f>
        <v>#DIV/0!</v>
      </c>
      <c r="I37" s="68"/>
      <c r="J37" s="20" t="e">
        <f>Table6[[#This Row],[COST / SERVING
---
DO NOT EDIT]]/Table6[[#This Row],[MENU PRICE]]</f>
        <v>#DIV/0!</v>
      </c>
      <c r="K37" s="21"/>
      <c r="L37" s="22">
        <f>Table6[[#This Row],[BOT COST]]*Table6[[#This Row],[ORDER QUANTITY]]</f>
        <v>0</v>
      </c>
      <c r="M37" s="43"/>
      <c r="N37" s="43"/>
    </row>
    <row r="38" spans="2:14" ht="20" customHeight="1" x14ac:dyDescent="0.2">
      <c r="B38" s="54" t="s">
        <v>50</v>
      </c>
      <c r="C38" s="43"/>
      <c r="D38" s="17"/>
      <c r="E38" s="23"/>
      <c r="F38" s="24"/>
      <c r="G38" s="19" t="e">
        <f>Table6[[#This Row],[BOT COST]]/(Table6[[#This Row],[BOTTLE SIZE
(ML)]]*0.033814)</f>
        <v>#DIV/0!</v>
      </c>
      <c r="H38" s="19" t="e">
        <f>1.5*Table6[[#This Row],[COST / OUNCE
---
DO NOT EDIT]]</f>
        <v>#DIV/0!</v>
      </c>
      <c r="I38" s="68"/>
      <c r="J38" s="20" t="e">
        <f>Table6[[#This Row],[COST / SERVING
---
DO NOT EDIT]]/Table6[[#This Row],[MENU PRICE]]</f>
        <v>#DIV/0!</v>
      </c>
      <c r="K38" s="21"/>
      <c r="L38" s="22">
        <f>Table6[[#This Row],[BOT COST]]*Table6[[#This Row],[ORDER QUANTITY]]</f>
        <v>0</v>
      </c>
      <c r="M38" s="43"/>
      <c r="N38" s="43"/>
    </row>
    <row r="39" spans="2:14" ht="20" customHeight="1" x14ac:dyDescent="0.2">
      <c r="B39" s="40" t="s">
        <v>51</v>
      </c>
      <c r="C39" s="41" t="s">
        <v>85</v>
      </c>
      <c r="D39" s="10">
        <v>1000</v>
      </c>
      <c r="E39" s="11">
        <v>45</v>
      </c>
      <c r="F39" s="12"/>
      <c r="G39" s="13">
        <f>Table6[[#This Row],[BOT COST]]/(Table6[[#This Row],[BOTTLE SIZE
(ML)]]*0.033814)</f>
        <v>1.3308097237830485</v>
      </c>
      <c r="H39" s="13">
        <f>1.5*Table6[[#This Row],[COST / OUNCE
---
DO NOT EDIT]]</f>
        <v>1.9962145856745728</v>
      </c>
      <c r="I39" s="68">
        <v>16</v>
      </c>
      <c r="J39" s="14">
        <f>Table6[[#This Row],[COST / SERVING
---
DO NOT EDIT]]/Table6[[#This Row],[MENU PRICE]]</f>
        <v>0.1247634116046608</v>
      </c>
      <c r="K39" s="15"/>
      <c r="L39" s="16">
        <f>Table6[[#This Row],[BOT COST]]*Table6[[#This Row],[ORDER QUANTITY]]</f>
        <v>0</v>
      </c>
      <c r="M39" s="41"/>
      <c r="N39" s="41"/>
    </row>
    <row r="40" spans="2:14" ht="20" customHeight="1" x14ac:dyDescent="0.2">
      <c r="B40" s="40" t="s">
        <v>51</v>
      </c>
      <c r="C40" s="43"/>
      <c r="D40" s="17"/>
      <c r="E40" s="23"/>
      <c r="F40" s="24"/>
      <c r="G40" s="19" t="e">
        <f>Table6[[#This Row],[BOT COST]]/(Table6[[#This Row],[BOTTLE SIZE
(ML)]]*0.033814)</f>
        <v>#DIV/0!</v>
      </c>
      <c r="H40" s="19" t="e">
        <f>1.5*Table6[[#This Row],[COST / OUNCE
---
DO NOT EDIT]]</f>
        <v>#DIV/0!</v>
      </c>
      <c r="I40" s="68"/>
      <c r="J40" s="20" t="e">
        <f>Table6[[#This Row],[COST / SERVING
---
DO NOT EDIT]]/Table6[[#This Row],[MENU PRICE]]</f>
        <v>#DIV/0!</v>
      </c>
      <c r="K40" s="21"/>
      <c r="L40" s="22">
        <f>Table6[[#This Row],[BOT COST]]*Table6[[#This Row],[ORDER QUANTITY]]</f>
        <v>0</v>
      </c>
      <c r="M40" s="43"/>
      <c r="N40" s="43"/>
    </row>
    <row r="41" spans="2:14" ht="20" customHeight="1" x14ac:dyDescent="0.2">
      <c r="B41" s="40" t="s">
        <v>51</v>
      </c>
      <c r="C41" s="43"/>
      <c r="D41" s="17"/>
      <c r="E41" s="23"/>
      <c r="F41" s="24"/>
      <c r="G41" s="19" t="e">
        <f>Table6[[#This Row],[BOT COST]]/(Table6[[#This Row],[BOTTLE SIZE
(ML)]]*0.033814)</f>
        <v>#DIV/0!</v>
      </c>
      <c r="H41" s="19" t="e">
        <f>1.5*Table6[[#This Row],[COST / OUNCE
---
DO NOT EDIT]]</f>
        <v>#DIV/0!</v>
      </c>
      <c r="I41" s="68"/>
      <c r="J41" s="20" t="e">
        <f>Table6[[#This Row],[COST / SERVING
---
DO NOT EDIT]]/Table6[[#This Row],[MENU PRICE]]</f>
        <v>#DIV/0!</v>
      </c>
      <c r="K41" s="21"/>
      <c r="L41" s="22">
        <f>Table6[[#This Row],[BOT COST]]*Table6[[#This Row],[ORDER QUANTITY]]</f>
        <v>0</v>
      </c>
      <c r="M41" s="43"/>
      <c r="N41" s="43"/>
    </row>
    <row r="42" spans="2:14" ht="20" customHeight="1" x14ac:dyDescent="0.2">
      <c r="B42" s="53" t="s">
        <v>91</v>
      </c>
      <c r="C42" s="43"/>
      <c r="D42" s="17"/>
      <c r="E42" s="23"/>
      <c r="F42" s="24"/>
      <c r="G42" s="19" t="e">
        <f>Table6[[#This Row],[BOT COST]]/(Table6[[#This Row],[BOTTLE SIZE
(ML)]]*0.033814)</f>
        <v>#DIV/0!</v>
      </c>
      <c r="H42" s="19" t="e">
        <f>1.5*Table6[[#This Row],[COST / OUNCE
---
DO NOT EDIT]]</f>
        <v>#DIV/0!</v>
      </c>
      <c r="I42" s="68"/>
      <c r="J42" s="20" t="e">
        <f>Table6[[#This Row],[COST / SERVING
---
DO NOT EDIT]]/Table6[[#This Row],[MENU PRICE]]</f>
        <v>#DIV/0!</v>
      </c>
      <c r="K42" s="21"/>
      <c r="L42" s="22">
        <f>Table6[[#This Row],[BOT COST]]*Table6[[#This Row],[ORDER QUANTITY]]</f>
        <v>0</v>
      </c>
      <c r="M42" s="43"/>
      <c r="N42" s="43"/>
    </row>
    <row r="43" spans="2:14" ht="20" customHeight="1" x14ac:dyDescent="0.2">
      <c r="B43" s="53" t="s">
        <v>91</v>
      </c>
      <c r="C43" s="43"/>
      <c r="D43" s="17"/>
      <c r="E43" s="23"/>
      <c r="F43" s="24"/>
      <c r="G43" s="19" t="e">
        <f>Table6[[#This Row],[BOT COST]]/(Table6[[#This Row],[BOTTLE SIZE
(ML)]]*0.033814)</f>
        <v>#DIV/0!</v>
      </c>
      <c r="H43" s="19" t="e">
        <f>1.5*Table6[[#This Row],[COST / OUNCE
---
DO NOT EDIT]]</f>
        <v>#DIV/0!</v>
      </c>
      <c r="I43" s="68"/>
      <c r="J43" s="20" t="e">
        <f>Table6[[#This Row],[COST / SERVING
---
DO NOT EDIT]]/Table6[[#This Row],[MENU PRICE]]</f>
        <v>#DIV/0!</v>
      </c>
      <c r="K43" s="21"/>
      <c r="L43" s="22">
        <f>Table6[[#This Row],[BOT COST]]*Table6[[#This Row],[ORDER QUANTITY]]</f>
        <v>0</v>
      </c>
      <c r="M43" s="43"/>
      <c r="N43" s="43"/>
    </row>
    <row r="44" spans="2:14" ht="20" customHeight="1" x14ac:dyDescent="0.2">
      <c r="B44" s="53" t="s">
        <v>52</v>
      </c>
      <c r="C44" s="43"/>
      <c r="D44" s="17"/>
      <c r="E44" s="23"/>
      <c r="F44" s="24"/>
      <c r="G44" s="19" t="e">
        <f>Table6[[#This Row],[BOT COST]]/(Table6[[#This Row],[BOTTLE SIZE
(ML)]]*0.033814)</f>
        <v>#DIV/0!</v>
      </c>
      <c r="H44" s="19" t="e">
        <f>1.5*Table6[[#This Row],[COST / OUNCE
---
DO NOT EDIT]]</f>
        <v>#DIV/0!</v>
      </c>
      <c r="I44" s="68"/>
      <c r="J44" s="20" t="e">
        <f>Table6[[#This Row],[COST / SERVING
---
DO NOT EDIT]]/Table6[[#This Row],[MENU PRICE]]</f>
        <v>#DIV/0!</v>
      </c>
      <c r="K44" s="21"/>
      <c r="L44" s="22">
        <f>Table6[[#This Row],[BOT COST]]*Table6[[#This Row],[ORDER QUANTITY]]</f>
        <v>0</v>
      </c>
      <c r="M44" s="43"/>
      <c r="N44" s="43"/>
    </row>
    <row r="45" spans="2:14" ht="20" customHeight="1" x14ac:dyDescent="0.2">
      <c r="B45" s="53" t="s">
        <v>52</v>
      </c>
      <c r="C45" s="43"/>
      <c r="D45" s="17"/>
      <c r="E45" s="23"/>
      <c r="F45" s="24"/>
      <c r="G45" s="19" t="e">
        <f>Table6[[#This Row],[BOT COST]]/(Table6[[#This Row],[BOTTLE SIZE
(ML)]]*0.033814)</f>
        <v>#DIV/0!</v>
      </c>
      <c r="H45" s="19" t="e">
        <f>1.5*Table6[[#This Row],[COST / OUNCE
---
DO NOT EDIT]]</f>
        <v>#DIV/0!</v>
      </c>
      <c r="I45" s="68"/>
      <c r="J45" s="20" t="e">
        <f>Table6[[#This Row],[COST / SERVING
---
DO NOT EDIT]]/Table6[[#This Row],[MENU PRICE]]</f>
        <v>#DIV/0!</v>
      </c>
      <c r="K45" s="21"/>
      <c r="L45" s="22">
        <f>Table6[[#This Row],[BOT COST]]*Table6[[#This Row],[ORDER QUANTITY]]</f>
        <v>0</v>
      </c>
      <c r="M45" s="43"/>
      <c r="N45" s="43"/>
    </row>
    <row r="46" spans="2:14" ht="20" customHeight="1" x14ac:dyDescent="0.2">
      <c r="B46" s="41" t="s">
        <v>53</v>
      </c>
      <c r="C46" s="41"/>
      <c r="D46" s="10"/>
      <c r="E46" s="11"/>
      <c r="F46" s="12"/>
      <c r="G46" s="13" t="e">
        <f>Table6[[#This Row],[BOT COST]]/(Table6[[#This Row],[BOTTLE SIZE
(ML)]]*0.033814)</f>
        <v>#DIV/0!</v>
      </c>
      <c r="H46" s="13" t="e">
        <f>1.5*Table6[[#This Row],[COST / OUNCE
---
DO NOT EDIT]]</f>
        <v>#DIV/0!</v>
      </c>
      <c r="I46" s="68"/>
      <c r="J46" s="14" t="e">
        <f>Table6[[#This Row],[COST / SERVING
---
DO NOT EDIT]]/Table6[[#This Row],[MENU PRICE]]</f>
        <v>#DIV/0!</v>
      </c>
      <c r="K46" s="15"/>
      <c r="L46" s="16">
        <f>Table6[[#This Row],[BOT COST]]*Table6[[#This Row],[ORDER QUANTITY]]</f>
        <v>0</v>
      </c>
      <c r="M46" s="41"/>
      <c r="N46" s="41"/>
    </row>
    <row r="47" spans="2:14" ht="20" customHeight="1" x14ac:dyDescent="0.2">
      <c r="B47" s="43" t="s">
        <v>53</v>
      </c>
      <c r="C47" s="49" t="s">
        <v>54</v>
      </c>
      <c r="D47" s="50">
        <v>1000</v>
      </c>
      <c r="E47" s="23">
        <v>35</v>
      </c>
      <c r="F47" s="24"/>
      <c r="G47" s="19">
        <f>Table6[[#This Row],[BOT COST]]/(Table6[[#This Row],[BOTTLE SIZE
(ML)]]*0.033814)</f>
        <v>1.0350742296090376</v>
      </c>
      <c r="H47" s="19">
        <f>1.5*Table6[[#This Row],[COST / OUNCE
---
DO NOT EDIT]]</f>
        <v>1.5526113444135565</v>
      </c>
      <c r="I47" s="68">
        <v>14</v>
      </c>
      <c r="J47" s="20">
        <f>Table6[[#This Row],[COST / SERVING
---
DO NOT EDIT]]/Table6[[#This Row],[MENU PRICE]]</f>
        <v>0.11090081031525403</v>
      </c>
      <c r="K47" s="21"/>
      <c r="L47" s="22">
        <f>Table6[[#This Row],[BOT COST]]*Table6[[#This Row],[ORDER QUANTITY]]</f>
        <v>0</v>
      </c>
      <c r="M47" s="43"/>
      <c r="N47" s="43"/>
    </row>
    <row r="48" spans="2:14" ht="20" customHeight="1" x14ac:dyDescent="0.2">
      <c r="B48" s="43" t="s">
        <v>53</v>
      </c>
      <c r="C48" s="49" t="s">
        <v>55</v>
      </c>
      <c r="D48" s="52">
        <v>1000</v>
      </c>
      <c r="E48" s="23">
        <v>39</v>
      </c>
      <c r="F48" s="24"/>
      <c r="G48" s="19">
        <f>Table6[[#This Row],[BOT COST]]/(Table6[[#This Row],[BOTTLE SIZE
(ML)]]*0.033814)</f>
        <v>1.153368427278642</v>
      </c>
      <c r="H48" s="19">
        <f>1.5*Table6[[#This Row],[COST / OUNCE
---
DO NOT EDIT]]</f>
        <v>1.7300526409179628</v>
      </c>
      <c r="I48" s="68">
        <v>16</v>
      </c>
      <c r="J48" s="20">
        <f>Table6[[#This Row],[COST / SERVING
---
DO NOT EDIT]]/Table6[[#This Row],[MENU PRICE]]</f>
        <v>0.10812829005737268</v>
      </c>
      <c r="K48" s="21"/>
      <c r="L48" s="22">
        <f>Table6[[#This Row],[BOT COST]]*Table6[[#This Row],[ORDER QUANTITY]]</f>
        <v>0</v>
      </c>
      <c r="M48" s="43"/>
      <c r="N48" s="43"/>
    </row>
    <row r="49" spans="2:14" ht="20" customHeight="1" x14ac:dyDescent="0.2">
      <c r="B49" s="48" t="s">
        <v>53</v>
      </c>
      <c r="C49" s="48"/>
      <c r="D49" s="17"/>
      <c r="E49" s="23"/>
      <c r="F49" s="24"/>
      <c r="G49" s="19" t="e">
        <f>Table6[[#This Row],[BOT COST]]/(Table6[[#This Row],[BOTTLE SIZE
(ML)]]*0.033814)</f>
        <v>#DIV/0!</v>
      </c>
      <c r="H49" s="19" t="e">
        <f>1.5*Table6[[#This Row],[COST / OUNCE
---
DO NOT EDIT]]</f>
        <v>#DIV/0!</v>
      </c>
      <c r="I49" s="68"/>
      <c r="J49" s="20" t="e">
        <f>Table6[[#This Row],[COST / SERVING
---
DO NOT EDIT]]/Table6[[#This Row],[MENU PRICE]]</f>
        <v>#DIV/0!</v>
      </c>
      <c r="K49" s="21"/>
      <c r="L49" s="22">
        <f>Table6[[#This Row],[BOT COST]]*Table6[[#This Row],[ORDER QUANTITY]]</f>
        <v>0</v>
      </c>
      <c r="M49" s="43"/>
      <c r="N49" s="43"/>
    </row>
    <row r="50" spans="2:14" ht="20" customHeight="1" x14ac:dyDescent="0.2">
      <c r="B50" s="43" t="s">
        <v>53</v>
      </c>
      <c r="C50" s="43"/>
      <c r="D50" s="17"/>
      <c r="E50" s="23"/>
      <c r="F50" s="24"/>
      <c r="G50" s="19" t="e">
        <f>Table6[[#This Row],[BOT COST]]/(Table6[[#This Row],[BOTTLE SIZE
(ML)]]*0.033814)</f>
        <v>#DIV/0!</v>
      </c>
      <c r="H50" s="19" t="e">
        <f>1.5*Table6[[#This Row],[COST / OUNCE
---
DO NOT EDIT]]</f>
        <v>#DIV/0!</v>
      </c>
      <c r="I50" s="68"/>
      <c r="J50" s="20" t="e">
        <f>Table6[[#This Row],[COST / SERVING
---
DO NOT EDIT]]/Table6[[#This Row],[MENU PRICE]]</f>
        <v>#DIV/0!</v>
      </c>
      <c r="K50" s="21"/>
      <c r="L50" s="22">
        <f>Table6[[#This Row],[BOT COST]]*Table6[[#This Row],[ORDER QUANTITY]]</f>
        <v>0</v>
      </c>
      <c r="M50" s="43"/>
      <c r="N50" s="43"/>
    </row>
    <row r="51" spans="2:14" ht="20" customHeight="1" x14ac:dyDescent="0.2">
      <c r="B51" s="43" t="s">
        <v>53</v>
      </c>
      <c r="C51" s="49"/>
      <c r="D51" s="52"/>
      <c r="E51" s="23"/>
      <c r="F51" s="24"/>
      <c r="G51" s="19" t="e">
        <f>Table6[[#This Row],[BOT COST]]/(Table6[[#This Row],[BOTTLE SIZE
(ML)]]*0.033814)</f>
        <v>#DIV/0!</v>
      </c>
      <c r="H51" s="19" t="e">
        <f>1.5*Table6[[#This Row],[COST / OUNCE
---
DO NOT EDIT]]</f>
        <v>#DIV/0!</v>
      </c>
      <c r="I51" s="68"/>
      <c r="J51" s="20" t="e">
        <f>Table6[[#This Row],[COST / SERVING
---
DO NOT EDIT]]/Table6[[#This Row],[MENU PRICE]]</f>
        <v>#DIV/0!</v>
      </c>
      <c r="K51" s="21"/>
      <c r="L51" s="22">
        <f>Table6[[#This Row],[BOT COST]]*Table6[[#This Row],[ORDER QUANTITY]]</f>
        <v>0</v>
      </c>
      <c r="M51" s="43"/>
      <c r="N51" s="43"/>
    </row>
    <row r="52" spans="2:14" ht="20" customHeight="1" x14ac:dyDescent="0.2">
      <c r="B52" s="43" t="s">
        <v>53</v>
      </c>
      <c r="C52" s="49"/>
      <c r="D52" s="52"/>
      <c r="E52" s="23"/>
      <c r="F52" s="24"/>
      <c r="G52" s="19" t="e">
        <f>Table6[[#This Row],[BOT COST]]/(Table6[[#This Row],[BOTTLE SIZE
(ML)]]*0.033814)</f>
        <v>#DIV/0!</v>
      </c>
      <c r="H52" s="19" t="e">
        <f>1.5*Table6[[#This Row],[COST / OUNCE
---
DO NOT EDIT]]</f>
        <v>#DIV/0!</v>
      </c>
      <c r="I52" s="68"/>
      <c r="J52" s="20" t="e">
        <f>Table6[[#This Row],[COST / SERVING
---
DO NOT EDIT]]/Table6[[#This Row],[MENU PRICE]]</f>
        <v>#DIV/0!</v>
      </c>
      <c r="K52" s="21"/>
      <c r="L52" s="22">
        <f>Table6[[#This Row],[BOT COST]]*Table6[[#This Row],[ORDER QUANTITY]]</f>
        <v>0</v>
      </c>
      <c r="M52" s="43"/>
      <c r="N52" s="43"/>
    </row>
    <row r="53" spans="2:14" ht="20" customHeight="1" x14ac:dyDescent="0.2">
      <c r="B53" s="48" t="s">
        <v>53</v>
      </c>
      <c r="C53" s="48"/>
      <c r="D53" s="17"/>
      <c r="E53" s="23"/>
      <c r="F53" s="24"/>
      <c r="G53" s="19" t="e">
        <f>Table6[[#This Row],[BOT COST]]/(Table6[[#This Row],[BOTTLE SIZE
(ML)]]*0.033814)</f>
        <v>#DIV/0!</v>
      </c>
      <c r="H53" s="19" t="e">
        <f>1.5*Table6[[#This Row],[COST / OUNCE
---
DO NOT EDIT]]</f>
        <v>#DIV/0!</v>
      </c>
      <c r="I53" s="68"/>
      <c r="J53" s="20" t="e">
        <f>Table6[[#This Row],[COST / SERVING
---
DO NOT EDIT]]/Table6[[#This Row],[MENU PRICE]]</f>
        <v>#DIV/0!</v>
      </c>
      <c r="K53" s="21"/>
      <c r="L53" s="22">
        <f>Table6[[#This Row],[BOT COST]]*Table6[[#This Row],[ORDER QUANTITY]]</f>
        <v>0</v>
      </c>
      <c r="M53" s="43"/>
      <c r="N53" s="43"/>
    </row>
    <row r="54" spans="2:14" ht="20" customHeight="1" x14ac:dyDescent="0.2">
      <c r="B54" s="43" t="s">
        <v>53</v>
      </c>
      <c r="C54" s="43"/>
      <c r="D54" s="17"/>
      <c r="E54" s="23"/>
      <c r="F54" s="24"/>
      <c r="G54" s="19" t="e">
        <f>Table6[[#This Row],[BOT COST]]/(Table6[[#This Row],[BOTTLE SIZE
(ML)]]*0.033814)</f>
        <v>#DIV/0!</v>
      </c>
      <c r="H54" s="19" t="e">
        <f>1.5*Table6[[#This Row],[COST / OUNCE
---
DO NOT EDIT]]</f>
        <v>#DIV/0!</v>
      </c>
      <c r="I54" s="68"/>
      <c r="J54" s="20" t="e">
        <f>Table6[[#This Row],[COST / SERVING
---
DO NOT EDIT]]/Table6[[#This Row],[MENU PRICE]]</f>
        <v>#DIV/0!</v>
      </c>
      <c r="K54" s="21"/>
      <c r="L54" s="22">
        <f>Table6[[#This Row],[BOT COST]]*Table6[[#This Row],[ORDER QUANTITY]]</f>
        <v>0</v>
      </c>
      <c r="M54" s="43"/>
      <c r="N54" s="43"/>
    </row>
    <row r="55" spans="2:14" ht="20" customHeight="1" x14ac:dyDescent="0.2">
      <c r="B55" s="43" t="s">
        <v>53</v>
      </c>
      <c r="C55" s="49"/>
      <c r="D55" s="52"/>
      <c r="E55" s="25"/>
      <c r="F55" s="18"/>
      <c r="G55" s="19" t="e">
        <f>Table6[[#This Row],[BOT COST]]/(Table6[[#This Row],[BOTTLE SIZE
(ML)]]*0.033814)</f>
        <v>#DIV/0!</v>
      </c>
      <c r="H55" s="19" t="e">
        <f>1.5*Table6[[#This Row],[COST / OUNCE
---
DO NOT EDIT]]</f>
        <v>#DIV/0!</v>
      </c>
      <c r="I55" s="68"/>
      <c r="J55" s="20" t="e">
        <f>Table6[[#This Row],[COST / SERVING
---
DO NOT EDIT]]/Table6[[#This Row],[MENU PRICE]]</f>
        <v>#DIV/0!</v>
      </c>
      <c r="K55" s="21"/>
      <c r="L55" s="22">
        <f>Table6[[#This Row],[BOT COST]]*Table6[[#This Row],[ORDER QUANTITY]]</f>
        <v>0</v>
      </c>
      <c r="M55" s="43"/>
      <c r="N55" s="43"/>
    </row>
    <row r="56" spans="2:14" ht="20" customHeight="1" x14ac:dyDescent="0.2">
      <c r="B56" s="49" t="s">
        <v>56</v>
      </c>
      <c r="C56" s="43" t="s">
        <v>86</v>
      </c>
      <c r="D56" s="28">
        <v>750</v>
      </c>
      <c r="E56" s="23">
        <v>22</v>
      </c>
      <c r="F56" s="24"/>
      <c r="G56" s="19">
        <f>Table6[[#This Row],[BOT COST]]/(Table6[[#This Row],[BOTTLE SIZE
(ML)]]*0.033814)</f>
        <v>0.86749078291043169</v>
      </c>
      <c r="H56" s="19">
        <f>1.5*Table6[[#This Row],[COST / OUNCE
---
DO NOT EDIT]]</f>
        <v>1.3012361743656475</v>
      </c>
      <c r="I56" s="68">
        <v>13</v>
      </c>
      <c r="J56" s="20">
        <f>Table6[[#This Row],[COST / SERVING
---
DO NOT EDIT]]/Table6[[#This Row],[MENU PRICE]]</f>
        <v>0.10009509033581904</v>
      </c>
      <c r="K56" s="21"/>
      <c r="L56" s="22">
        <f>Table6[[#This Row],[BOT COST]]*Table6[[#This Row],[ORDER QUANTITY]]</f>
        <v>0</v>
      </c>
      <c r="M56" s="55"/>
      <c r="N56" s="43"/>
    </row>
    <row r="57" spans="2:14" ht="20" customHeight="1" x14ac:dyDescent="0.2">
      <c r="B57" s="49" t="s">
        <v>56</v>
      </c>
      <c r="C57" s="43"/>
      <c r="D57" s="17"/>
      <c r="E57" s="23"/>
      <c r="F57" s="24"/>
      <c r="G57" s="19" t="e">
        <f>Table6[[#This Row],[BOT COST]]/(Table6[[#This Row],[BOTTLE SIZE
(ML)]]*0.033814)</f>
        <v>#DIV/0!</v>
      </c>
      <c r="H57" s="19" t="e">
        <f>1.5*Table6[[#This Row],[COST / OUNCE
---
DO NOT EDIT]]</f>
        <v>#DIV/0!</v>
      </c>
      <c r="I57" s="68"/>
      <c r="J57" s="20" t="e">
        <f>Table6[[#This Row],[COST / SERVING
---
DO NOT EDIT]]/Table6[[#This Row],[MENU PRICE]]</f>
        <v>#DIV/0!</v>
      </c>
      <c r="K57" s="21"/>
      <c r="L57" s="22">
        <f>Table6[[#This Row],[BOT COST]]*Table6[[#This Row],[ORDER QUANTITY]]</f>
        <v>0</v>
      </c>
      <c r="M57" s="43"/>
      <c r="N57" s="43"/>
    </row>
    <row r="58" spans="2:14" ht="20" customHeight="1" x14ac:dyDescent="0.2">
      <c r="B58" s="49" t="s">
        <v>56</v>
      </c>
      <c r="C58" s="43"/>
      <c r="D58" s="17"/>
      <c r="E58" s="23"/>
      <c r="F58" s="24"/>
      <c r="G58" s="19" t="e">
        <f>Table6[[#This Row],[BOT COST]]/(Table6[[#This Row],[BOTTLE SIZE
(ML)]]*0.033814)</f>
        <v>#DIV/0!</v>
      </c>
      <c r="H58" s="19" t="e">
        <f>1.5*Table6[[#This Row],[COST / OUNCE
---
DO NOT EDIT]]</f>
        <v>#DIV/0!</v>
      </c>
      <c r="I58" s="68"/>
      <c r="J58" s="20" t="e">
        <f>Table6[[#This Row],[COST / SERVING
---
DO NOT EDIT]]/Table6[[#This Row],[MENU PRICE]]</f>
        <v>#DIV/0!</v>
      </c>
      <c r="K58" s="21"/>
      <c r="L58" s="22">
        <f>Table6[[#This Row],[BOT COST]]*Table6[[#This Row],[ORDER QUANTITY]]</f>
        <v>0</v>
      </c>
      <c r="M58" s="43"/>
      <c r="N58" s="43"/>
    </row>
    <row r="59" spans="2:14" ht="20" customHeight="1" x14ac:dyDescent="0.2">
      <c r="B59" s="49" t="s">
        <v>56</v>
      </c>
      <c r="C59" s="43"/>
      <c r="D59" s="17"/>
      <c r="E59" s="23"/>
      <c r="F59" s="24"/>
      <c r="G59" s="19" t="e">
        <f>Table6[[#This Row],[BOT COST]]/(Table6[[#This Row],[BOTTLE SIZE
(ML)]]*0.033814)</f>
        <v>#DIV/0!</v>
      </c>
      <c r="H59" s="19" t="e">
        <f>1.5*Table6[[#This Row],[COST / OUNCE
---
DO NOT EDIT]]</f>
        <v>#DIV/0!</v>
      </c>
      <c r="I59" s="68"/>
      <c r="J59" s="20" t="e">
        <f>Table6[[#This Row],[COST / SERVING
---
DO NOT EDIT]]/Table6[[#This Row],[MENU PRICE]]</f>
        <v>#DIV/0!</v>
      </c>
      <c r="K59" s="21"/>
      <c r="L59" s="22">
        <f>Table6[[#This Row],[BOT COST]]*Table6[[#This Row],[ORDER QUANTITY]]</f>
        <v>0</v>
      </c>
      <c r="M59" s="43"/>
      <c r="N59" s="43"/>
    </row>
    <row r="60" spans="2:14" ht="20" customHeight="1" x14ac:dyDescent="0.2">
      <c r="B60" s="47" t="s">
        <v>57</v>
      </c>
      <c r="C60" s="47" t="s">
        <v>58</v>
      </c>
      <c r="D60" s="27">
        <v>750</v>
      </c>
      <c r="E60" s="23">
        <v>34</v>
      </c>
      <c r="F60" s="24"/>
      <c r="G60" s="19">
        <f>Table6[[#This Row],[BOT COST]]/(Table6[[#This Row],[BOTTLE SIZE
(ML)]]*0.033814)</f>
        <v>1.3406675735888489</v>
      </c>
      <c r="H60" s="19">
        <f>1.5*Table6[[#This Row],[COST / OUNCE
---
DO NOT EDIT]]</f>
        <v>2.0110013603832733</v>
      </c>
      <c r="I60" s="68">
        <v>15</v>
      </c>
      <c r="J60" s="20">
        <f>Table6[[#This Row],[COST / SERVING
---
DO NOT EDIT]]/Table6[[#This Row],[MENU PRICE]]</f>
        <v>0.13406675735888487</v>
      </c>
      <c r="K60" s="21"/>
      <c r="L60" s="22">
        <f>Table6[[#This Row],[BOT COST]]*Table6[[#This Row],[ORDER QUANTITY]]</f>
        <v>0</v>
      </c>
      <c r="M60" s="43"/>
      <c r="N60" s="43"/>
    </row>
    <row r="61" spans="2:14" ht="20" customHeight="1" x14ac:dyDescent="0.2">
      <c r="B61" s="48" t="s">
        <v>57</v>
      </c>
      <c r="C61" s="47" t="s">
        <v>59</v>
      </c>
      <c r="D61" s="27">
        <v>750</v>
      </c>
      <c r="E61" s="23">
        <v>125</v>
      </c>
      <c r="F61" s="24"/>
      <c r="G61" s="19">
        <f>Table6[[#This Row],[BOT COST]]/(Table6[[#This Row],[BOTTLE SIZE
(ML)]]*0.033814)</f>
        <v>4.9289249029001798</v>
      </c>
      <c r="H61" s="19">
        <f>1.5*Table6[[#This Row],[COST / OUNCE
---
DO NOT EDIT]]</f>
        <v>7.3933873543502697</v>
      </c>
      <c r="I61" s="68">
        <v>25</v>
      </c>
      <c r="J61" s="20">
        <f>Table6[[#This Row],[COST / SERVING
---
DO NOT EDIT]]/Table6[[#This Row],[MENU PRICE]]</f>
        <v>0.29573549417401079</v>
      </c>
      <c r="K61" s="21"/>
      <c r="L61" s="22">
        <f>Table6[[#This Row],[BOT COST]]*Table6[[#This Row],[ORDER QUANTITY]]</f>
        <v>0</v>
      </c>
      <c r="M61" s="43"/>
      <c r="N61" s="43"/>
    </row>
    <row r="62" spans="2:14" ht="20" customHeight="1" x14ac:dyDescent="0.2">
      <c r="B62" s="48" t="s">
        <v>57</v>
      </c>
      <c r="C62" s="47"/>
      <c r="D62" s="17"/>
      <c r="E62" s="23"/>
      <c r="F62" s="24"/>
      <c r="G62" s="19" t="e">
        <f>Table6[[#This Row],[BOT COST]]/(Table6[[#This Row],[BOTTLE SIZE
(ML)]]*0.033814)</f>
        <v>#DIV/0!</v>
      </c>
      <c r="H62" s="19" t="e">
        <f>1.5*Table6[[#This Row],[COST / OUNCE
---
DO NOT EDIT]]</f>
        <v>#DIV/0!</v>
      </c>
      <c r="I62" s="68"/>
      <c r="J62" s="20" t="e">
        <f>Table6[[#This Row],[COST / SERVING
---
DO NOT EDIT]]/Table6[[#This Row],[MENU PRICE]]</f>
        <v>#DIV/0!</v>
      </c>
      <c r="K62" s="21"/>
      <c r="L62" s="22">
        <f>Table6[[#This Row],[BOT COST]]*Table6[[#This Row],[ORDER QUANTITY]]</f>
        <v>0</v>
      </c>
      <c r="M62" s="43"/>
      <c r="N62" s="43"/>
    </row>
    <row r="63" spans="2:14" ht="20" customHeight="1" x14ac:dyDescent="0.2">
      <c r="B63" s="48" t="s">
        <v>57</v>
      </c>
      <c r="C63" s="47"/>
      <c r="D63" s="17"/>
      <c r="E63" s="23"/>
      <c r="F63" s="24"/>
      <c r="G63" s="19" t="e">
        <f>Table6[[#This Row],[BOT COST]]/(Table6[[#This Row],[BOTTLE SIZE
(ML)]]*0.033814)</f>
        <v>#DIV/0!</v>
      </c>
      <c r="H63" s="19" t="e">
        <f>1.5*Table6[[#This Row],[COST / OUNCE
---
DO NOT EDIT]]</f>
        <v>#DIV/0!</v>
      </c>
      <c r="I63" s="68"/>
      <c r="J63" s="20" t="e">
        <f>Table6[[#This Row],[COST / SERVING
---
DO NOT EDIT]]/Table6[[#This Row],[MENU PRICE]]</f>
        <v>#DIV/0!</v>
      </c>
      <c r="K63" s="21"/>
      <c r="L63" s="22">
        <f>Table6[[#This Row],[BOT COST]]*Table6[[#This Row],[ORDER QUANTITY]]</f>
        <v>0</v>
      </c>
      <c r="M63" s="43"/>
      <c r="N63" s="43"/>
    </row>
    <row r="64" spans="2:14" ht="20" customHeight="1" x14ac:dyDescent="0.2">
      <c r="B64" s="47" t="s">
        <v>96</v>
      </c>
      <c r="C64" s="43" t="s">
        <v>60</v>
      </c>
      <c r="D64" s="17">
        <v>1750</v>
      </c>
      <c r="E64" s="23">
        <v>19</v>
      </c>
      <c r="F64" s="24"/>
      <c r="G64" s="19">
        <f>Table6[[#This Row],[BOT COST]]/(Table6[[#This Row],[BOTTLE SIZE
(ML)]]*0.033814)</f>
        <v>0.32108425081749742</v>
      </c>
      <c r="H64" s="19">
        <f>1.5*Table6[[#This Row],[COST / OUNCE
---
DO NOT EDIT]]</f>
        <v>0.48162637622624616</v>
      </c>
      <c r="I64" s="68"/>
      <c r="J64" s="20" t="e">
        <f>Table6[[#This Row],[COST / SERVING
---
DO NOT EDIT]]/Table6[[#This Row],[MENU PRICE]]</f>
        <v>#DIV/0!</v>
      </c>
      <c r="K64" s="21"/>
      <c r="L64" s="22">
        <f>Table6[[#This Row],[BOT COST]]*Table6[[#This Row],[ORDER QUANTITY]]</f>
        <v>0</v>
      </c>
      <c r="M64" s="43"/>
      <c r="N64" s="43"/>
    </row>
    <row r="65" spans="2:14" ht="20" customHeight="1" x14ac:dyDescent="0.2">
      <c r="B65" s="43" t="s">
        <v>61</v>
      </c>
      <c r="C65" s="47" t="s">
        <v>63</v>
      </c>
      <c r="D65" s="17">
        <v>750</v>
      </c>
      <c r="E65" s="23">
        <v>175</v>
      </c>
      <c r="F65" s="24"/>
      <c r="G65" s="19">
        <f>Table6[[#This Row],[BOT COST]]/(Table6[[#This Row],[BOTTLE SIZE
(ML)]]*0.033814)</f>
        <v>6.9004948640602519</v>
      </c>
      <c r="H65" s="19">
        <f>1.5*Table6[[#This Row],[COST / OUNCE
---
DO NOT EDIT]]</f>
        <v>10.350742296090377</v>
      </c>
      <c r="I65" s="68">
        <v>42</v>
      </c>
      <c r="J65" s="20">
        <f>Table6[[#This Row],[COST / SERVING
---
DO NOT EDIT]]/Table6[[#This Row],[MENU PRICE]]</f>
        <v>0.24644624514500899</v>
      </c>
      <c r="K65" s="21"/>
      <c r="L65" s="22">
        <f>Table6[[#This Row],[BOT COST]]*Table6[[#This Row],[ORDER QUANTITY]]</f>
        <v>0</v>
      </c>
      <c r="M65" s="43"/>
      <c r="N65" s="43"/>
    </row>
    <row r="66" spans="2:14" ht="20" customHeight="1" x14ac:dyDescent="0.2">
      <c r="B66" s="43" t="s">
        <v>61</v>
      </c>
      <c r="C66" s="47" t="s">
        <v>62</v>
      </c>
      <c r="D66" s="17">
        <v>750</v>
      </c>
      <c r="E66" s="23">
        <v>27</v>
      </c>
      <c r="F66" s="24"/>
      <c r="G66" s="19">
        <f>Table6[[#This Row],[BOT COST]]/(Table6[[#This Row],[BOTTLE SIZE
(ML)]]*0.033814)</f>
        <v>1.0646477790264388</v>
      </c>
      <c r="H66" s="19">
        <f>1.5*Table6[[#This Row],[COST / OUNCE
---
DO NOT EDIT]]</f>
        <v>1.5969716685396582</v>
      </c>
      <c r="I66" s="68">
        <v>13</v>
      </c>
      <c r="J66" s="20">
        <f>Table6[[#This Row],[COST / SERVING
---
DO NOT EDIT]]/Table6[[#This Row],[MENU PRICE]]</f>
        <v>0.12284397450305064</v>
      </c>
      <c r="K66" s="21"/>
      <c r="L66" s="22">
        <f>Table6[[#This Row],[BOT COST]]*Table6[[#This Row],[ORDER QUANTITY]]</f>
        <v>0</v>
      </c>
      <c r="M66" s="43"/>
      <c r="N66" s="43"/>
    </row>
    <row r="67" spans="2:14" ht="20" customHeight="1" x14ac:dyDescent="0.2">
      <c r="B67" s="43" t="s">
        <v>61</v>
      </c>
      <c r="C67" s="47" t="s">
        <v>92</v>
      </c>
      <c r="D67" s="17">
        <v>750</v>
      </c>
      <c r="E67" s="23">
        <v>28</v>
      </c>
      <c r="F67" s="24"/>
      <c r="G67" s="19">
        <f>Table6[[#This Row],[BOT COST]]/(Table6[[#This Row],[BOTTLE SIZE
(ML)]]*0.033814)</f>
        <v>1.1040791782496402</v>
      </c>
      <c r="H67" s="19">
        <f>1.5*Table6[[#This Row],[COST / OUNCE
---
DO NOT EDIT]]</f>
        <v>1.6561187673744602</v>
      </c>
      <c r="I67" s="68">
        <v>14</v>
      </c>
      <c r="J67" s="20">
        <f>Table6[[#This Row],[COST / SERVING
---
DO NOT EDIT]]/Table6[[#This Row],[MENU PRICE]]</f>
        <v>0.11829419766960429</v>
      </c>
      <c r="K67" s="21"/>
      <c r="L67" s="22">
        <f>Table6[[#This Row],[BOT COST]]*Table6[[#This Row],[ORDER QUANTITY]]</f>
        <v>0</v>
      </c>
      <c r="M67" s="43"/>
      <c r="N67" s="43"/>
    </row>
    <row r="68" spans="2:14" ht="20" customHeight="1" x14ac:dyDescent="0.2">
      <c r="B68" s="43" t="s">
        <v>61</v>
      </c>
      <c r="C68" s="47"/>
      <c r="D68" s="17"/>
      <c r="E68" s="23"/>
      <c r="F68" s="24"/>
      <c r="G68" s="19" t="e">
        <f>Table6[[#This Row],[BOT COST]]/(Table6[[#This Row],[BOTTLE SIZE
(ML)]]*0.033814)</f>
        <v>#DIV/0!</v>
      </c>
      <c r="H68" s="19" t="e">
        <f>1.5*Table6[[#This Row],[COST / OUNCE
---
DO NOT EDIT]]</f>
        <v>#DIV/0!</v>
      </c>
      <c r="I68" s="68"/>
      <c r="J68" s="20" t="e">
        <f>Table6[[#This Row],[COST / SERVING
---
DO NOT EDIT]]/Table6[[#This Row],[MENU PRICE]]</f>
        <v>#DIV/0!</v>
      </c>
      <c r="K68" s="21"/>
      <c r="L68" s="22">
        <f>Table6[[#This Row],[BOT COST]]*Table6[[#This Row],[ORDER QUANTITY]]</f>
        <v>0</v>
      </c>
      <c r="M68" s="43"/>
      <c r="N68" s="43"/>
    </row>
    <row r="69" spans="2:14" ht="20" customHeight="1" x14ac:dyDescent="0.2">
      <c r="B69" s="43" t="s">
        <v>61</v>
      </c>
      <c r="C69" s="47"/>
      <c r="D69" s="17"/>
      <c r="E69" s="23"/>
      <c r="F69" s="24"/>
      <c r="G69" s="19" t="e">
        <f>Table6[[#This Row],[BOT COST]]/(Table6[[#This Row],[BOTTLE SIZE
(ML)]]*0.033814)</f>
        <v>#DIV/0!</v>
      </c>
      <c r="H69" s="19" t="e">
        <f>1.5*Table6[[#This Row],[COST / OUNCE
---
DO NOT EDIT]]</f>
        <v>#DIV/0!</v>
      </c>
      <c r="I69" s="68"/>
      <c r="J69" s="20" t="e">
        <f>Table6[[#This Row],[COST / SERVING
---
DO NOT EDIT]]/Table6[[#This Row],[MENU PRICE]]</f>
        <v>#DIV/0!</v>
      </c>
      <c r="K69" s="21"/>
      <c r="L69" s="22">
        <f>Table6[[#This Row],[BOT COST]]*Table6[[#This Row],[ORDER QUANTITY]]</f>
        <v>0</v>
      </c>
      <c r="M69" s="43"/>
      <c r="N69" s="43"/>
    </row>
    <row r="70" spans="2:14" ht="20" customHeight="1" x14ac:dyDescent="0.2">
      <c r="B70" s="43" t="s">
        <v>61</v>
      </c>
      <c r="C70" s="47"/>
      <c r="D70" s="17"/>
      <c r="E70" s="23"/>
      <c r="F70" s="24"/>
      <c r="G70" s="19" t="e">
        <f>Table6[[#This Row],[BOT COST]]/(Table6[[#This Row],[BOTTLE SIZE
(ML)]]*0.033814)</f>
        <v>#DIV/0!</v>
      </c>
      <c r="H70" s="19" t="e">
        <f>1.5*Table6[[#This Row],[COST / OUNCE
---
DO NOT EDIT]]</f>
        <v>#DIV/0!</v>
      </c>
      <c r="I70" s="68"/>
      <c r="J70" s="20" t="e">
        <f>Table6[[#This Row],[COST / SERVING
---
DO NOT EDIT]]/Table6[[#This Row],[MENU PRICE]]</f>
        <v>#DIV/0!</v>
      </c>
      <c r="K70" s="21"/>
      <c r="L70" s="22">
        <f>Table6[[#This Row],[BOT COST]]*Table6[[#This Row],[ORDER QUANTITY]]</f>
        <v>0</v>
      </c>
      <c r="M70" s="43"/>
      <c r="N70" s="43"/>
    </row>
    <row r="71" spans="2:14" ht="20" customHeight="1" x14ac:dyDescent="0.2">
      <c r="B71" s="51" t="s">
        <v>64</v>
      </c>
      <c r="C71" s="43" t="s">
        <v>88</v>
      </c>
      <c r="D71" s="17">
        <v>750</v>
      </c>
      <c r="E71" s="23">
        <v>40</v>
      </c>
      <c r="F71" s="24"/>
      <c r="G71" s="19">
        <f>Table6[[#This Row],[BOT COST]]/(Table6[[#This Row],[BOTTLE SIZE
(ML)]]*0.033814)</f>
        <v>1.5772559689280574</v>
      </c>
      <c r="H71" s="19">
        <f>1.5*Table6[[#This Row],[COST / OUNCE
---
DO NOT EDIT]]</f>
        <v>2.3658839533920863</v>
      </c>
      <c r="I71" s="68">
        <v>18</v>
      </c>
      <c r="J71" s="20">
        <f>Table6[[#This Row],[COST / SERVING
---
DO NOT EDIT]]/Table6[[#This Row],[MENU PRICE]]</f>
        <v>0.13143799741067147</v>
      </c>
      <c r="K71" s="21"/>
      <c r="L71" s="22">
        <f>Table6[[#This Row],[BOT COST]]*Table6[[#This Row],[ORDER QUANTITY]]</f>
        <v>0</v>
      </c>
      <c r="M71" s="43"/>
      <c r="N71" s="43"/>
    </row>
    <row r="72" spans="2:14" ht="20" customHeight="1" x14ac:dyDescent="0.2">
      <c r="B72" s="49" t="s">
        <v>64</v>
      </c>
      <c r="C72" s="43" t="s">
        <v>65</v>
      </c>
      <c r="D72" s="27">
        <v>1000</v>
      </c>
      <c r="E72" s="23">
        <v>23</v>
      </c>
      <c r="F72" s="24"/>
      <c r="G72" s="19">
        <f>Table6[[#This Row],[BOT COST]]/(Table6[[#This Row],[BOTTLE SIZE
(ML)]]*0.033814)</f>
        <v>0.68019163660022475</v>
      </c>
      <c r="H72" s="19">
        <f>1.5*Table6[[#This Row],[COST / OUNCE
---
DO NOT EDIT]]</f>
        <v>1.0202874549003371</v>
      </c>
      <c r="I72" s="68">
        <v>14</v>
      </c>
      <c r="J72" s="20">
        <f>Table6[[#This Row],[COST / SERVING
---
DO NOT EDIT]]/Table6[[#This Row],[MENU PRICE]]</f>
        <v>7.2877675350024082E-2</v>
      </c>
      <c r="K72" s="21"/>
      <c r="L72" s="22">
        <f>Table6[[#This Row],[BOT COST]]*Table6[[#This Row],[ORDER QUANTITY]]</f>
        <v>0</v>
      </c>
      <c r="M72" s="43"/>
      <c r="N72" s="43"/>
    </row>
    <row r="73" spans="2:14" ht="20" customHeight="1" x14ac:dyDescent="0.2">
      <c r="B73" s="49" t="s">
        <v>64</v>
      </c>
      <c r="C73" s="43" t="s">
        <v>87</v>
      </c>
      <c r="D73" s="27">
        <v>750</v>
      </c>
      <c r="E73" s="23">
        <v>30</v>
      </c>
      <c r="F73" s="24"/>
      <c r="G73" s="19">
        <f>Table6[[#This Row],[BOT COST]]/(Table6[[#This Row],[BOTTLE SIZE
(ML)]]*0.033814)</f>
        <v>1.1829419766960432</v>
      </c>
      <c r="H73" s="19">
        <f>1.5*Table6[[#This Row],[COST / OUNCE
---
DO NOT EDIT]]</f>
        <v>1.7744129650440648</v>
      </c>
      <c r="I73" s="68">
        <v>16</v>
      </c>
      <c r="J73" s="20">
        <f>Table6[[#This Row],[COST / SERVING
---
DO NOT EDIT]]/Table6[[#This Row],[MENU PRICE]]</f>
        <v>0.11090081031525405</v>
      </c>
      <c r="K73" s="21"/>
      <c r="L73" s="22">
        <f>Table6[[#This Row],[BOT COST]]*Table6[[#This Row],[ORDER QUANTITY]]</f>
        <v>0</v>
      </c>
      <c r="M73" s="43"/>
      <c r="N73" s="43"/>
    </row>
    <row r="74" spans="2:14" ht="20" customHeight="1" x14ac:dyDescent="0.2">
      <c r="B74" s="49" t="s">
        <v>64</v>
      </c>
      <c r="C74" s="43"/>
      <c r="D74" s="27">
        <v>750</v>
      </c>
      <c r="E74" s="23"/>
      <c r="F74" s="24"/>
      <c r="G74" s="19">
        <f>Table6[[#This Row],[BOT COST]]/(Table6[[#This Row],[BOTTLE SIZE
(ML)]]*0.033814)</f>
        <v>0</v>
      </c>
      <c r="H74" s="19">
        <f>1.5*Table6[[#This Row],[COST / OUNCE
---
DO NOT EDIT]]</f>
        <v>0</v>
      </c>
      <c r="I74" s="68"/>
      <c r="J74" s="20" t="e">
        <f>Table6[[#This Row],[COST / SERVING
---
DO NOT EDIT]]/Table6[[#This Row],[MENU PRICE]]</f>
        <v>#DIV/0!</v>
      </c>
      <c r="K74" s="21"/>
      <c r="L74" s="22">
        <f>Table6[[#This Row],[BOT COST]]*Table6[[#This Row],[ORDER QUANTITY]]</f>
        <v>0</v>
      </c>
      <c r="M74" s="43"/>
      <c r="N74" s="43"/>
    </row>
    <row r="75" spans="2:14" ht="20" customHeight="1" x14ac:dyDescent="0.2">
      <c r="B75" s="49" t="s">
        <v>64</v>
      </c>
      <c r="C75" s="43"/>
      <c r="D75" s="17"/>
      <c r="E75" s="23"/>
      <c r="F75" s="24"/>
      <c r="G75" s="19" t="e">
        <f>Table6[[#This Row],[BOT COST]]/(Table6[[#This Row],[BOTTLE SIZE
(ML)]]*0.033814)</f>
        <v>#DIV/0!</v>
      </c>
      <c r="H75" s="19" t="e">
        <f>1.5*Table6[[#This Row],[COST / OUNCE
---
DO NOT EDIT]]</f>
        <v>#DIV/0!</v>
      </c>
      <c r="I75" s="68"/>
      <c r="J75" s="20" t="e">
        <f>Table6[[#This Row],[COST / SERVING
---
DO NOT EDIT]]/Table6[[#This Row],[MENU PRICE]]</f>
        <v>#DIV/0!</v>
      </c>
      <c r="K75" s="21"/>
      <c r="L75" s="22">
        <f>Table6[[#This Row],[BOT COST]]*Table6[[#This Row],[ORDER QUANTITY]]</f>
        <v>0</v>
      </c>
      <c r="M75" s="43"/>
      <c r="N75" s="43"/>
    </row>
    <row r="76" spans="2:14" ht="20" customHeight="1" x14ac:dyDescent="0.2">
      <c r="B76" s="49" t="s">
        <v>64</v>
      </c>
      <c r="C76" s="43"/>
      <c r="D76" s="17"/>
      <c r="E76" s="23"/>
      <c r="F76" s="24"/>
      <c r="G76" s="19" t="e">
        <f>Table6[[#This Row],[BOT COST]]/(Table6[[#This Row],[BOTTLE SIZE
(ML)]]*0.033814)</f>
        <v>#DIV/0!</v>
      </c>
      <c r="H76" s="19" t="e">
        <f>1.5*Table6[[#This Row],[COST / OUNCE
---
DO NOT EDIT]]</f>
        <v>#DIV/0!</v>
      </c>
      <c r="I76" s="68"/>
      <c r="J76" s="20" t="e">
        <f>Table6[[#This Row],[COST / SERVING
---
DO NOT EDIT]]/Table6[[#This Row],[MENU PRICE]]</f>
        <v>#DIV/0!</v>
      </c>
      <c r="K76" s="21"/>
      <c r="L76" s="22">
        <f>Table6[[#This Row],[BOT COST]]*Table6[[#This Row],[ORDER QUANTITY]]</f>
        <v>0</v>
      </c>
      <c r="M76" s="43"/>
      <c r="N76" s="43"/>
    </row>
    <row r="77" spans="2:14" ht="20" customHeight="1" x14ac:dyDescent="0.2">
      <c r="B77" s="49" t="s">
        <v>64</v>
      </c>
      <c r="C77" s="43"/>
      <c r="D77" s="17"/>
      <c r="E77" s="23"/>
      <c r="F77" s="24"/>
      <c r="G77" s="19" t="e">
        <f>Table6[[#This Row],[BOT COST]]/(Table6[[#This Row],[BOTTLE SIZE
(ML)]]*0.033814)</f>
        <v>#DIV/0!</v>
      </c>
      <c r="H77" s="19" t="e">
        <f>1.5*Table6[[#This Row],[COST / OUNCE
---
DO NOT EDIT]]</f>
        <v>#DIV/0!</v>
      </c>
      <c r="I77" s="68"/>
      <c r="J77" s="20" t="e">
        <f>Table6[[#This Row],[COST / SERVING
---
DO NOT EDIT]]/Table6[[#This Row],[MENU PRICE]]</f>
        <v>#DIV/0!</v>
      </c>
      <c r="K77" s="21"/>
      <c r="L77" s="22">
        <f>Table6[[#This Row],[BOT COST]]*Table6[[#This Row],[ORDER QUANTITY]]</f>
        <v>0</v>
      </c>
      <c r="M77" s="43"/>
      <c r="N77" s="43"/>
    </row>
    <row r="78" spans="2:14" ht="20" customHeight="1" x14ac:dyDescent="0.2">
      <c r="B78" s="49" t="s">
        <v>66</v>
      </c>
      <c r="C78" s="49" t="s">
        <v>89</v>
      </c>
      <c r="D78" s="50">
        <v>1000</v>
      </c>
      <c r="E78" s="23">
        <v>18</v>
      </c>
      <c r="F78" s="24"/>
      <c r="G78" s="19">
        <f>Table6[[#This Row],[BOT COST]]/(Table6[[#This Row],[BOTTLE SIZE
(ML)]]*0.033814)</f>
        <v>0.53232388951321941</v>
      </c>
      <c r="H78" s="19">
        <f>1.5*Table6[[#This Row],[COST / OUNCE
---
DO NOT EDIT]]</f>
        <v>0.79848583426982911</v>
      </c>
      <c r="I78" s="68">
        <v>13</v>
      </c>
      <c r="J78" s="20">
        <f>Table6[[#This Row],[COST / SERVING
---
DO NOT EDIT]]/Table6[[#This Row],[MENU PRICE]]</f>
        <v>6.1421987251525319E-2</v>
      </c>
      <c r="K78" s="21"/>
      <c r="L78" s="22">
        <f>Table6[[#This Row],[BOT COST]]*Table6[[#This Row],[ORDER QUANTITY]]</f>
        <v>0</v>
      </c>
      <c r="M78" s="43"/>
      <c r="N78" s="43"/>
    </row>
    <row r="79" spans="2:14" ht="20" customHeight="1" x14ac:dyDescent="0.2">
      <c r="B79" s="48" t="s">
        <v>66</v>
      </c>
      <c r="C79" s="47"/>
      <c r="D79" s="27"/>
      <c r="E79" s="23"/>
      <c r="F79" s="24" t="s">
        <v>67</v>
      </c>
      <c r="G79" s="19" t="e">
        <f>Table6[[#This Row],[BOT COST]]/(Table6[[#This Row],[BOTTLE SIZE
(ML)]]*0.033814)</f>
        <v>#DIV/0!</v>
      </c>
      <c r="H79" s="19" t="e">
        <f>1.5*Table6[[#This Row],[COST / OUNCE
---
DO NOT EDIT]]</f>
        <v>#DIV/0!</v>
      </c>
      <c r="I79" s="68"/>
      <c r="J79" s="20" t="e">
        <f>Table6[[#This Row],[COST / SERVING
---
DO NOT EDIT]]/Table6[[#This Row],[MENU PRICE]]</f>
        <v>#DIV/0!</v>
      </c>
      <c r="K79" s="21"/>
      <c r="L79" s="22">
        <f>Table6[[#This Row],[BOT COST]]*Table6[[#This Row],[ORDER QUANTITY]]</f>
        <v>0</v>
      </c>
      <c r="M79" s="43"/>
      <c r="N79" s="43"/>
    </row>
    <row r="80" spans="2:14" ht="20" customHeight="1" x14ac:dyDescent="0.2">
      <c r="B80" s="48" t="s">
        <v>66</v>
      </c>
      <c r="C80" s="48"/>
      <c r="D80" s="27"/>
      <c r="E80" s="23"/>
      <c r="F80" s="24" t="s">
        <v>68</v>
      </c>
      <c r="G80" s="19" t="e">
        <f>Table6[[#This Row],[BOT COST]]/(Table6[[#This Row],[BOTTLE SIZE
(ML)]]*0.033814)</f>
        <v>#DIV/0!</v>
      </c>
      <c r="H80" s="19" t="e">
        <f>1.5*Table6[[#This Row],[COST / OUNCE
---
DO NOT EDIT]]</f>
        <v>#DIV/0!</v>
      </c>
      <c r="I80" s="68"/>
      <c r="J80" s="20" t="e">
        <f>Table6[[#This Row],[COST / SERVING
---
DO NOT EDIT]]/Table6[[#This Row],[MENU PRICE]]</f>
        <v>#DIV/0!</v>
      </c>
      <c r="K80" s="21"/>
      <c r="L80" s="22">
        <f>Table6[[#This Row],[BOT COST]]*Table6[[#This Row],[ORDER QUANTITY]]</f>
        <v>0</v>
      </c>
      <c r="M80" s="43"/>
      <c r="N80" s="43"/>
    </row>
    <row r="81" spans="2:14" ht="20" customHeight="1" x14ac:dyDescent="0.2">
      <c r="B81" s="48" t="s">
        <v>66</v>
      </c>
      <c r="C81" s="48"/>
      <c r="D81" s="27"/>
      <c r="E81" s="23"/>
      <c r="F81" s="24" t="s">
        <v>69</v>
      </c>
      <c r="G81" s="19" t="e">
        <f>Table6[[#This Row],[BOT COST]]/(Table6[[#This Row],[BOTTLE SIZE
(ML)]]*0.033814)</f>
        <v>#DIV/0!</v>
      </c>
      <c r="H81" s="19" t="e">
        <f>1.5*Table6[[#This Row],[COST / OUNCE
---
DO NOT EDIT]]</f>
        <v>#DIV/0!</v>
      </c>
      <c r="I81" s="68"/>
      <c r="J81" s="20" t="e">
        <f>Table6[[#This Row],[COST / SERVING
---
DO NOT EDIT]]/Table6[[#This Row],[MENU PRICE]]</f>
        <v>#DIV/0!</v>
      </c>
      <c r="K81" s="21"/>
      <c r="L81" s="22">
        <f>Table6[[#This Row],[BOT COST]]*Table6[[#This Row],[ORDER QUANTITY]]</f>
        <v>0</v>
      </c>
      <c r="M81" s="43"/>
      <c r="N81" s="43"/>
    </row>
    <row r="82" spans="2:14" ht="20" customHeight="1" x14ac:dyDescent="0.2">
      <c r="B82" s="48" t="s">
        <v>66</v>
      </c>
      <c r="C82" s="47"/>
      <c r="D82" s="27"/>
      <c r="E82" s="23"/>
      <c r="F82" s="24"/>
      <c r="G82" s="19" t="e">
        <f>Table6[[#This Row],[BOT COST]]/(Table6[[#This Row],[BOTTLE SIZE
(ML)]]*0.033814)</f>
        <v>#DIV/0!</v>
      </c>
      <c r="H82" s="19" t="e">
        <f>1.5*Table6[[#This Row],[COST / OUNCE
---
DO NOT EDIT]]</f>
        <v>#DIV/0!</v>
      </c>
      <c r="I82" s="68"/>
      <c r="J82" s="20" t="e">
        <f>Table6[[#This Row],[COST / SERVING
---
DO NOT EDIT]]/Table6[[#This Row],[MENU PRICE]]</f>
        <v>#DIV/0!</v>
      </c>
      <c r="K82" s="21"/>
      <c r="L82" s="22">
        <f>Table6[[#This Row],[BOT COST]]*Table6[[#This Row],[ORDER QUANTITY]]</f>
        <v>0</v>
      </c>
      <c r="M82" s="43"/>
      <c r="N82" s="43"/>
    </row>
    <row r="83" spans="2:14" ht="20" customHeight="1" x14ac:dyDescent="0.2">
      <c r="B83" s="48" t="s">
        <v>66</v>
      </c>
      <c r="C83" s="47"/>
      <c r="D83" s="27"/>
      <c r="E83" s="23"/>
      <c r="F83" s="24"/>
      <c r="G83" s="19" t="e">
        <f>Table6[[#This Row],[BOT COST]]/(Table6[[#This Row],[BOTTLE SIZE
(ML)]]*0.033814)</f>
        <v>#DIV/0!</v>
      </c>
      <c r="H83" s="19" t="e">
        <f>1.5*Table6[[#This Row],[COST / OUNCE
---
DO NOT EDIT]]</f>
        <v>#DIV/0!</v>
      </c>
      <c r="I83" s="68"/>
      <c r="J83" s="20" t="e">
        <f>Table6[[#This Row],[COST / SERVING
---
DO NOT EDIT]]/Table6[[#This Row],[MENU PRICE]]</f>
        <v>#DIV/0!</v>
      </c>
      <c r="K83" s="21"/>
      <c r="L83" s="22">
        <f>Table6[[#This Row],[BOT COST]]*Table6[[#This Row],[ORDER QUANTITY]]</f>
        <v>0</v>
      </c>
      <c r="M83" s="43"/>
      <c r="N83" s="43"/>
    </row>
    <row r="84" spans="2:14" ht="20" customHeight="1" x14ac:dyDescent="0.2">
      <c r="B84" s="47" t="s">
        <v>70</v>
      </c>
      <c r="C84" s="47"/>
      <c r="D84" s="27"/>
      <c r="E84" s="23"/>
      <c r="F84" s="24"/>
      <c r="G84" s="19" t="e">
        <f>Table6[[#This Row],[BOT COST]]/(Table6[[#This Row],[BOTTLE SIZE
(ML)]]*0.033814)</f>
        <v>#DIV/0!</v>
      </c>
      <c r="H84" s="19" t="e">
        <f>1.5*Table6[[#This Row],[COST / OUNCE
---
DO NOT EDIT]]</f>
        <v>#DIV/0!</v>
      </c>
      <c r="I84" s="68"/>
      <c r="J84" s="20" t="e">
        <f>Table6[[#This Row],[COST / SERVING
---
DO NOT EDIT]]/Table6[[#This Row],[MENU PRICE]]</f>
        <v>#DIV/0!</v>
      </c>
      <c r="K84" s="21"/>
      <c r="L84" s="22">
        <f>Table6[[#This Row],[BOT COST]]*Table6[[#This Row],[ORDER QUANTITY]]</f>
        <v>0</v>
      </c>
      <c r="M84" s="43"/>
      <c r="N84" s="43"/>
    </row>
    <row r="85" spans="2:14" ht="20" customHeight="1" x14ac:dyDescent="0.2">
      <c r="B85" s="47" t="s">
        <v>70</v>
      </c>
      <c r="C85" s="47"/>
      <c r="D85" s="27"/>
      <c r="E85" s="23"/>
      <c r="F85" s="24"/>
      <c r="G85" s="19" t="e">
        <f>Table6[[#This Row],[BOT COST]]/(Table6[[#This Row],[BOTTLE SIZE
(ML)]]*0.033814)</f>
        <v>#DIV/0!</v>
      </c>
      <c r="H85" s="19" t="e">
        <f>1.5*Table6[[#This Row],[COST / OUNCE
---
DO NOT EDIT]]</f>
        <v>#DIV/0!</v>
      </c>
      <c r="I85" s="68"/>
      <c r="J85" s="20" t="e">
        <f>Table6[[#This Row],[COST / SERVING
---
DO NOT EDIT]]/Table6[[#This Row],[MENU PRICE]]</f>
        <v>#DIV/0!</v>
      </c>
      <c r="K85" s="21"/>
      <c r="L85" s="22">
        <f>Table6[[#This Row],[BOT COST]]*Table6[[#This Row],[ORDER QUANTITY]]</f>
        <v>0</v>
      </c>
      <c r="M85" s="43"/>
      <c r="N85" s="43"/>
    </row>
    <row r="86" spans="2:14" ht="20" customHeight="1" x14ac:dyDescent="0.2">
      <c r="B86" s="49" t="s">
        <v>71</v>
      </c>
      <c r="C86" s="48" t="s">
        <v>74</v>
      </c>
      <c r="D86" s="17">
        <v>1000</v>
      </c>
      <c r="E86" s="23">
        <v>33</v>
      </c>
      <c r="F86" s="24"/>
      <c r="G86" s="19">
        <f>Table6[[#This Row],[BOT COST]]/(Table6[[#This Row],[BOTTLE SIZE
(ML)]]*0.033814)</f>
        <v>0.97592713077423554</v>
      </c>
      <c r="H86" s="19">
        <f>1.5*Table6[[#This Row],[COST / OUNCE
---
DO NOT EDIT]]</f>
        <v>1.4638906961613534</v>
      </c>
      <c r="I86" s="68">
        <v>15</v>
      </c>
      <c r="J86" s="20">
        <f>Table6[[#This Row],[COST / SERVING
---
DO NOT EDIT]]/Table6[[#This Row],[MENU PRICE]]</f>
        <v>9.7592713077423551E-2</v>
      </c>
      <c r="K86" s="21"/>
      <c r="L86" s="22">
        <f>Table6[[#This Row],[BOT COST]]*Table6[[#This Row],[ORDER QUANTITY]]</f>
        <v>0</v>
      </c>
      <c r="M86" s="43"/>
      <c r="N86" s="43"/>
    </row>
    <row r="87" spans="2:14" ht="20" customHeight="1" x14ac:dyDescent="0.2">
      <c r="B87" s="49" t="s">
        <v>71</v>
      </c>
      <c r="C87" s="49" t="s">
        <v>75</v>
      </c>
      <c r="D87" s="52">
        <v>750</v>
      </c>
      <c r="E87" s="23">
        <v>44</v>
      </c>
      <c r="F87" s="24"/>
      <c r="G87" s="19">
        <f>Table6[[#This Row],[BOT COST]]/(Table6[[#This Row],[BOTTLE SIZE
(ML)]]*0.033814)</f>
        <v>1.7349815658208634</v>
      </c>
      <c r="H87" s="19">
        <f>1.5*Table6[[#This Row],[COST / OUNCE
---
DO NOT EDIT]]</f>
        <v>2.6024723487312951</v>
      </c>
      <c r="I87" s="68">
        <v>18</v>
      </c>
      <c r="J87" s="20">
        <f>Table6[[#This Row],[COST / SERVING
---
DO NOT EDIT]]/Table6[[#This Row],[MENU PRICE]]</f>
        <v>0.14458179715173861</v>
      </c>
      <c r="K87" s="21"/>
      <c r="L87" s="22">
        <f>Table6[[#This Row],[BOT COST]]*Table6[[#This Row],[ORDER QUANTITY]]</f>
        <v>0</v>
      </c>
      <c r="M87" s="43"/>
      <c r="N87" s="43"/>
    </row>
    <row r="88" spans="2:14" ht="20" customHeight="1" x14ac:dyDescent="0.2">
      <c r="B88" s="49" t="s">
        <v>71</v>
      </c>
      <c r="C88" s="49" t="s">
        <v>72</v>
      </c>
      <c r="D88" s="52">
        <v>750</v>
      </c>
      <c r="E88" s="23">
        <v>53</v>
      </c>
      <c r="F88" s="24"/>
      <c r="G88" s="19">
        <f>Table6[[#This Row],[BOT COST]]/(Table6[[#This Row],[BOTTLE SIZE
(ML)]]*0.033814)</f>
        <v>2.089864158829676</v>
      </c>
      <c r="H88" s="19">
        <f>1.5*Table6[[#This Row],[COST / OUNCE
---
DO NOT EDIT]]</f>
        <v>3.134796238244514</v>
      </c>
      <c r="I88" s="68">
        <v>22</v>
      </c>
      <c r="J88" s="20">
        <f>Table6[[#This Row],[COST / SERVING
---
DO NOT EDIT]]/Table6[[#This Row],[MENU PRICE]]</f>
        <v>0.14249073810202337</v>
      </c>
      <c r="K88" s="21"/>
      <c r="L88" s="22">
        <f>Table6[[#This Row],[BOT COST]]*Table6[[#This Row],[ORDER QUANTITY]]</f>
        <v>0</v>
      </c>
      <c r="M88" s="43"/>
      <c r="N88" s="43"/>
    </row>
    <row r="89" spans="2:14" ht="20" customHeight="1" x14ac:dyDescent="0.2">
      <c r="B89" s="49" t="s">
        <v>71</v>
      </c>
      <c r="C89" s="49" t="s">
        <v>73</v>
      </c>
      <c r="D89" s="52">
        <v>750</v>
      </c>
      <c r="E89" s="23">
        <v>40</v>
      </c>
      <c r="F89" s="24"/>
      <c r="G89" s="19">
        <f>Table6[[#This Row],[BOT COST]]/(Table6[[#This Row],[BOTTLE SIZE
(ML)]]*0.033814)</f>
        <v>1.5772559689280574</v>
      </c>
      <c r="H89" s="19">
        <f>1.5*Table6[[#This Row],[COST / OUNCE
---
DO NOT EDIT]]</f>
        <v>2.3658839533920863</v>
      </c>
      <c r="I89" s="68">
        <v>18</v>
      </c>
      <c r="J89" s="20">
        <f>Table6[[#This Row],[COST / SERVING
---
DO NOT EDIT]]/Table6[[#This Row],[MENU PRICE]]</f>
        <v>0.13143799741067147</v>
      </c>
      <c r="K89" s="21"/>
      <c r="L89" s="22">
        <f>Table6[[#This Row],[BOT COST]]*Table6[[#This Row],[ORDER QUANTITY]]</f>
        <v>0</v>
      </c>
      <c r="M89" s="43"/>
      <c r="N89" s="43"/>
    </row>
    <row r="90" spans="2:14" ht="20" customHeight="1" x14ac:dyDescent="0.2">
      <c r="B90" s="49" t="s">
        <v>71</v>
      </c>
      <c r="C90" s="43"/>
      <c r="D90" s="17"/>
      <c r="E90" s="23"/>
      <c r="F90" s="24"/>
      <c r="G90" s="19" t="e">
        <f>Table6[[#This Row],[BOT COST]]/(Table6[[#This Row],[BOTTLE SIZE
(ML)]]*0.033814)</f>
        <v>#DIV/0!</v>
      </c>
      <c r="H90" s="19" t="e">
        <f>1.5*Table6[[#This Row],[COST / OUNCE
---
DO NOT EDIT]]</f>
        <v>#DIV/0!</v>
      </c>
      <c r="I90" s="68"/>
      <c r="J90" s="20" t="e">
        <f>Table6[[#This Row],[COST / SERVING
---
DO NOT EDIT]]/Table6[[#This Row],[MENU PRICE]]</f>
        <v>#DIV/0!</v>
      </c>
      <c r="K90" s="21"/>
      <c r="L90" s="22">
        <f>Table6[[#This Row],[BOT COST]]*Table6[[#This Row],[ORDER QUANTITY]]</f>
        <v>0</v>
      </c>
      <c r="M90" s="43"/>
      <c r="N90" s="43"/>
    </row>
    <row r="91" spans="2:14" ht="20" customHeight="1" x14ac:dyDescent="0.2">
      <c r="B91" s="49" t="s">
        <v>71</v>
      </c>
      <c r="C91" s="43"/>
      <c r="D91" s="17"/>
      <c r="E91" s="23"/>
      <c r="F91" s="24"/>
      <c r="G91" s="19" t="e">
        <f>Table6[[#This Row],[BOT COST]]/(Table6[[#This Row],[BOTTLE SIZE
(ML)]]*0.033814)</f>
        <v>#DIV/0!</v>
      </c>
      <c r="H91" s="19" t="e">
        <f>1.5*Table6[[#This Row],[COST / OUNCE
---
DO NOT EDIT]]</f>
        <v>#DIV/0!</v>
      </c>
      <c r="I91" s="68"/>
      <c r="J91" s="20" t="e">
        <f>Table6[[#This Row],[COST / SERVING
---
DO NOT EDIT]]/Table6[[#This Row],[MENU PRICE]]</f>
        <v>#DIV/0!</v>
      </c>
      <c r="K91" s="21"/>
      <c r="L91" s="22">
        <f>Table6[[#This Row],[BOT COST]]*Table6[[#This Row],[ORDER QUANTITY]]</f>
        <v>0</v>
      </c>
      <c r="M91" s="43"/>
      <c r="N91" s="43"/>
    </row>
    <row r="92" spans="2:14" ht="20" customHeight="1" x14ac:dyDescent="0.2">
      <c r="B92" s="49" t="s">
        <v>71</v>
      </c>
      <c r="C92" s="43"/>
      <c r="D92" s="17"/>
      <c r="E92" s="23"/>
      <c r="F92" s="24"/>
      <c r="G92" s="19" t="e">
        <f>Table6[[#This Row],[BOT COST]]/(Table6[[#This Row],[BOTTLE SIZE
(ML)]]*0.033814)</f>
        <v>#DIV/0!</v>
      </c>
      <c r="H92" s="19" t="e">
        <f>1.5*Table6[[#This Row],[COST / OUNCE
---
DO NOT EDIT]]</f>
        <v>#DIV/0!</v>
      </c>
      <c r="I92" s="68"/>
      <c r="J92" s="20" t="e">
        <f>Table6[[#This Row],[COST / SERVING
---
DO NOT EDIT]]/Table6[[#This Row],[MENU PRICE]]</f>
        <v>#DIV/0!</v>
      </c>
      <c r="K92" s="21"/>
      <c r="L92" s="22">
        <f>Table6[[#This Row],[BOT COST]]*Table6[[#This Row],[ORDER QUANTITY]]</f>
        <v>0</v>
      </c>
      <c r="M92" s="43"/>
      <c r="N92" s="43"/>
    </row>
    <row r="93" spans="2:14" ht="20" customHeight="1" x14ac:dyDescent="0.2">
      <c r="B93" s="49" t="s">
        <v>76</v>
      </c>
      <c r="C93" s="49"/>
      <c r="D93" s="50"/>
      <c r="E93" s="23"/>
      <c r="F93" s="24"/>
      <c r="G93" s="19" t="e">
        <f>Table6[[#This Row],[BOT COST]]/(Table6[[#This Row],[BOTTLE SIZE
(ML)]]*0.033814)</f>
        <v>#DIV/0!</v>
      </c>
      <c r="H93" s="19" t="e">
        <f>1.5*Table6[[#This Row],[COST / OUNCE
---
DO NOT EDIT]]</f>
        <v>#DIV/0!</v>
      </c>
      <c r="I93" s="68"/>
      <c r="J93" s="20" t="e">
        <f>Table6[[#This Row],[COST / SERVING
---
DO NOT EDIT]]/Table6[[#This Row],[MENU PRICE]]</f>
        <v>#DIV/0!</v>
      </c>
      <c r="K93" s="21"/>
      <c r="L93" s="22">
        <f>Table6[[#This Row],[BOT COST]]*Table6[[#This Row],[ORDER QUANTITY]]</f>
        <v>0</v>
      </c>
      <c r="M93" s="43"/>
      <c r="N93" s="43"/>
    </row>
    <row r="94" spans="2:14" ht="20" customHeight="1" x14ac:dyDescent="0.2">
      <c r="B94" s="48" t="s">
        <v>76</v>
      </c>
      <c r="C94" s="48"/>
      <c r="D94" s="27"/>
      <c r="E94" s="23"/>
      <c r="F94" s="24"/>
      <c r="G94" s="19" t="e">
        <f>Table6[[#This Row],[BOT COST]]/(Table6[[#This Row],[BOTTLE SIZE
(ML)]]*0.033814)</f>
        <v>#DIV/0!</v>
      </c>
      <c r="H94" s="19" t="e">
        <f>1.5*Table6[[#This Row],[COST / OUNCE
---
DO NOT EDIT]]</f>
        <v>#DIV/0!</v>
      </c>
      <c r="I94" s="68"/>
      <c r="J94" s="20" t="e">
        <f>Table6[[#This Row],[COST / SERVING
---
DO NOT EDIT]]/Table6[[#This Row],[MENU PRICE]]</f>
        <v>#DIV/0!</v>
      </c>
      <c r="K94" s="21"/>
      <c r="L94" s="22">
        <f>Table6[[#This Row],[BOT COST]]*Table6[[#This Row],[ORDER QUANTITY]]</f>
        <v>0</v>
      </c>
      <c r="M94" s="43"/>
      <c r="N94" s="43"/>
    </row>
    <row r="95" spans="2:14" ht="20" customHeight="1" x14ac:dyDescent="0.2">
      <c r="B95" s="49" t="s">
        <v>76</v>
      </c>
      <c r="C95" s="49"/>
      <c r="D95" s="50"/>
      <c r="E95" s="23"/>
      <c r="F95" s="24"/>
      <c r="G95" s="19" t="e">
        <f>Table6[[#This Row],[BOT COST]]/(Table6[[#This Row],[BOTTLE SIZE
(ML)]]*0.033814)</f>
        <v>#DIV/0!</v>
      </c>
      <c r="H95" s="19" t="e">
        <f>1.5*Table6[[#This Row],[COST / OUNCE
---
DO NOT EDIT]]</f>
        <v>#DIV/0!</v>
      </c>
      <c r="I95" s="68"/>
      <c r="J95" s="20" t="e">
        <f>Table6[[#This Row],[COST / SERVING
---
DO NOT EDIT]]/Table6[[#This Row],[MENU PRICE]]</f>
        <v>#DIV/0!</v>
      </c>
      <c r="K95" s="21"/>
      <c r="L95" s="22">
        <f>Table6[[#This Row],[BOT COST]]*Table6[[#This Row],[ORDER QUANTITY]]</f>
        <v>0</v>
      </c>
      <c r="M95" s="43"/>
      <c r="N95" s="43"/>
    </row>
    <row r="96" spans="2:14" ht="20" customHeight="1" x14ac:dyDescent="0.2">
      <c r="B96" s="49" t="s">
        <v>77</v>
      </c>
      <c r="C96" s="49" t="s">
        <v>78</v>
      </c>
      <c r="D96" s="52">
        <v>750</v>
      </c>
      <c r="E96" s="23">
        <v>38</v>
      </c>
      <c r="F96" s="24"/>
      <c r="G96" s="19">
        <f>Table6[[#This Row],[BOT COST]]/(Table6[[#This Row],[BOTTLE SIZE
(ML)]]*0.033814)</f>
        <v>1.4983931704816547</v>
      </c>
      <c r="H96" s="19">
        <f>1.5*Table6[[#This Row],[COST / OUNCE
---
DO NOT EDIT]]</f>
        <v>2.247589755722482</v>
      </c>
      <c r="I96" s="68">
        <v>17</v>
      </c>
      <c r="J96" s="20">
        <f>Table6[[#This Row],[COST / SERVING
---
DO NOT EDIT]]/Table6[[#This Row],[MENU PRICE]]</f>
        <v>0.13221116210132247</v>
      </c>
      <c r="K96" s="21"/>
      <c r="L96" s="22">
        <f>Table6[[#This Row],[BOT COST]]*Table6[[#This Row],[ORDER QUANTITY]]</f>
        <v>0</v>
      </c>
      <c r="M96" s="43"/>
      <c r="N96" s="43"/>
    </row>
    <row r="97" spans="2:14" ht="20" customHeight="1" x14ac:dyDescent="0.2">
      <c r="B97" s="49" t="s">
        <v>77</v>
      </c>
      <c r="C97" s="49" t="s">
        <v>79</v>
      </c>
      <c r="D97" s="52">
        <v>750</v>
      </c>
      <c r="E97" s="23">
        <v>225</v>
      </c>
      <c r="F97" s="24"/>
      <c r="G97" s="19">
        <f>Table6[[#This Row],[BOT COST]]/(Table6[[#This Row],[BOTTLE SIZE
(ML)]]*0.033814)</f>
        <v>8.872064825220324</v>
      </c>
      <c r="H97" s="19">
        <f>1.5*Table6[[#This Row],[COST / OUNCE
---
DO NOT EDIT]]</f>
        <v>13.308097237830486</v>
      </c>
      <c r="I97" s="68">
        <v>30</v>
      </c>
      <c r="J97" s="20">
        <f>Table6[[#This Row],[COST / SERVING
---
DO NOT EDIT]]/Table6[[#This Row],[MENU PRICE]]</f>
        <v>0.44360324126101619</v>
      </c>
      <c r="K97" s="21"/>
      <c r="L97" s="22">
        <f>Table6[[#This Row],[BOT COST]]*Table6[[#This Row],[ORDER QUANTITY]]</f>
        <v>0</v>
      </c>
      <c r="M97" s="43"/>
      <c r="N97" s="43"/>
    </row>
    <row r="98" spans="2:14" ht="20" customHeight="1" x14ac:dyDescent="0.2">
      <c r="B98" s="49" t="s">
        <v>77</v>
      </c>
      <c r="C98" s="49" t="s">
        <v>80</v>
      </c>
      <c r="D98" s="52">
        <v>750</v>
      </c>
      <c r="E98" s="23">
        <v>70</v>
      </c>
      <c r="F98" s="24"/>
      <c r="G98" s="19">
        <f>Table6[[#This Row],[BOT COST]]/(Table6[[#This Row],[BOTTLE SIZE
(ML)]]*0.033814)</f>
        <v>2.7601979456241006</v>
      </c>
      <c r="H98" s="19">
        <f>1.5*Table6[[#This Row],[COST / OUNCE
---
DO NOT EDIT]]</f>
        <v>4.1402969184361513</v>
      </c>
      <c r="I98" s="68">
        <v>22</v>
      </c>
      <c r="J98" s="20">
        <f>Table6[[#This Row],[COST / SERVING
---
DO NOT EDIT]]/Table6[[#This Row],[MENU PRICE]]</f>
        <v>0.18819531447437052</v>
      </c>
      <c r="K98" s="21"/>
      <c r="L98" s="22">
        <f>Table6[[#This Row],[BOT COST]]*Table6[[#This Row],[ORDER QUANTITY]]</f>
        <v>0</v>
      </c>
      <c r="M98" s="43"/>
      <c r="N98" s="43"/>
    </row>
    <row r="99" spans="2:14" ht="20" customHeight="1" x14ac:dyDescent="0.2">
      <c r="B99" s="43" t="s">
        <v>77</v>
      </c>
      <c r="C99" s="43"/>
      <c r="D99" s="17"/>
      <c r="E99" s="23"/>
      <c r="F99" s="24"/>
      <c r="G99" s="19" t="e">
        <f>Table6[[#This Row],[BOT COST]]/(Table6[[#This Row],[BOTTLE SIZE
(ML)]]*0.033814)</f>
        <v>#DIV/0!</v>
      </c>
      <c r="H99" s="19" t="e">
        <f>1.5*Table6[[#This Row],[COST / OUNCE
---
DO NOT EDIT]]</f>
        <v>#DIV/0!</v>
      </c>
      <c r="I99" s="68"/>
      <c r="J99" s="20" t="e">
        <f>Table6[[#This Row],[COST / SERVING
---
DO NOT EDIT]]/Table6[[#This Row],[MENU PRICE]]</f>
        <v>#DIV/0!</v>
      </c>
      <c r="K99" s="21"/>
      <c r="L99" s="22">
        <f>Table6[[#This Row],[BOT COST]]*Table6[[#This Row],[ORDER QUANTITY]]</f>
        <v>0</v>
      </c>
      <c r="M99" s="43"/>
      <c r="N99" s="43"/>
    </row>
    <row r="100" spans="2:14" ht="20" customHeight="1" x14ac:dyDescent="0.2">
      <c r="B100" s="43" t="s">
        <v>77</v>
      </c>
      <c r="C100" s="43"/>
      <c r="D100" s="17"/>
      <c r="E100" s="23"/>
      <c r="F100" s="24"/>
      <c r="G100" s="19" t="e">
        <f>Table6[[#This Row],[BOT COST]]/(Table6[[#This Row],[BOTTLE SIZE
(ML)]]*0.033814)</f>
        <v>#DIV/0!</v>
      </c>
      <c r="H100" s="19" t="e">
        <f>1.5*Table6[[#This Row],[COST / OUNCE
---
DO NOT EDIT]]</f>
        <v>#DIV/0!</v>
      </c>
      <c r="I100" s="68"/>
      <c r="J100" s="20" t="e">
        <f>Table6[[#This Row],[COST / SERVING
---
DO NOT EDIT]]/Table6[[#This Row],[MENU PRICE]]</f>
        <v>#DIV/0!</v>
      </c>
      <c r="K100" s="21"/>
      <c r="L100" s="22">
        <f>Table6[[#This Row],[BOT COST]]*Table6[[#This Row],[ORDER QUANTITY]]</f>
        <v>0</v>
      </c>
      <c r="M100" s="43"/>
      <c r="N100" s="43"/>
    </row>
    <row r="101" spans="2:14" ht="20" customHeight="1" x14ac:dyDescent="0.2">
      <c r="B101" s="48" t="s">
        <v>77</v>
      </c>
      <c r="C101" s="48"/>
      <c r="D101" s="17"/>
      <c r="E101" s="23"/>
      <c r="F101" s="24"/>
      <c r="G101" s="19" t="e">
        <f>Table6[[#This Row],[BOT COST]]/(Table6[[#This Row],[BOTTLE SIZE
(ML)]]*0.033814)</f>
        <v>#DIV/0!</v>
      </c>
      <c r="H101" s="19" t="e">
        <f>1.5*Table6[[#This Row],[COST / OUNCE
---
DO NOT EDIT]]</f>
        <v>#DIV/0!</v>
      </c>
      <c r="I101" s="68"/>
      <c r="J101" s="20" t="e">
        <f>Table6[[#This Row],[COST / SERVING
---
DO NOT EDIT]]/Table6[[#This Row],[MENU PRICE]]</f>
        <v>#DIV/0!</v>
      </c>
      <c r="K101" s="21"/>
      <c r="L101" s="22">
        <f>Table6[[#This Row],[BOT COST]]*Table6[[#This Row],[ORDER QUANTITY]]</f>
        <v>0</v>
      </c>
      <c r="M101" s="43"/>
      <c r="N101" s="43"/>
    </row>
    <row r="102" spans="2:14" ht="20" customHeight="1" x14ac:dyDescent="0.2">
      <c r="B102" s="49" t="s">
        <v>81</v>
      </c>
      <c r="C102" s="49"/>
      <c r="D102" s="50"/>
      <c r="E102" s="23"/>
      <c r="F102" s="24"/>
      <c r="G102" s="19" t="e">
        <f>Table6[[#This Row],[BOT COST]]/(Table6[[#This Row],[BOTTLE SIZE
(ML)]]*0.033814)</f>
        <v>#DIV/0!</v>
      </c>
      <c r="H102" s="19" t="e">
        <f>1.5*Table6[[#This Row],[COST / OUNCE
---
DO NOT EDIT]]</f>
        <v>#DIV/0!</v>
      </c>
      <c r="I102" s="68"/>
      <c r="J102" s="20" t="e">
        <f>Table6[[#This Row],[COST / SERVING
---
DO NOT EDIT]]/Table6[[#This Row],[MENU PRICE]]</f>
        <v>#DIV/0!</v>
      </c>
      <c r="K102" s="21"/>
      <c r="L102" s="22">
        <f>Table6[[#This Row],[BOT COST]]*Table6[[#This Row],[ORDER QUANTITY]]</f>
        <v>0</v>
      </c>
      <c r="M102" s="43"/>
      <c r="N102" s="43"/>
    </row>
    <row r="103" spans="2:14" ht="20" customHeight="1" x14ac:dyDescent="0.2">
      <c r="B103" s="49" t="s">
        <v>81</v>
      </c>
      <c r="C103" s="43"/>
      <c r="D103" s="27"/>
      <c r="E103" s="23"/>
      <c r="F103" s="24"/>
      <c r="G103" s="19" t="e">
        <f>Table6[[#This Row],[BOT COST]]/(Table6[[#This Row],[BOTTLE SIZE
(ML)]]*0.033814)</f>
        <v>#DIV/0!</v>
      </c>
      <c r="H103" s="19" t="e">
        <f>1.5*Table6[[#This Row],[COST / OUNCE
---
DO NOT EDIT]]</f>
        <v>#DIV/0!</v>
      </c>
      <c r="I103" s="68"/>
      <c r="J103" s="20" t="e">
        <f>Table6[[#This Row],[COST / SERVING
---
DO NOT EDIT]]/Table6[[#This Row],[MENU PRICE]]</f>
        <v>#DIV/0!</v>
      </c>
      <c r="K103" s="21"/>
      <c r="L103" s="22">
        <f>Table6[[#This Row],[BOT COST]]*Table6[[#This Row],[ORDER QUANTITY]]</f>
        <v>0</v>
      </c>
      <c r="M103" s="43"/>
      <c r="N103" s="43"/>
    </row>
    <row r="104" spans="2:14" ht="20" customHeight="1" x14ac:dyDescent="0.2">
      <c r="B104" s="49" t="s">
        <v>81</v>
      </c>
      <c r="C104" s="49"/>
      <c r="D104" s="50"/>
      <c r="E104" s="23"/>
      <c r="F104" s="24"/>
      <c r="G104" s="19" t="e">
        <f>Table6[[#This Row],[BOT COST]]/(Table6[[#This Row],[BOTTLE SIZE
(ML)]]*0.033814)</f>
        <v>#DIV/0!</v>
      </c>
      <c r="H104" s="19" t="e">
        <f>1.5*Table6[[#This Row],[COST / OUNCE
---
DO NOT EDIT]]</f>
        <v>#DIV/0!</v>
      </c>
      <c r="I104" s="68"/>
      <c r="J104" s="20" t="e">
        <f>Table6[[#This Row],[COST / SERVING
---
DO NOT EDIT]]/Table6[[#This Row],[MENU PRICE]]</f>
        <v>#DIV/0!</v>
      </c>
      <c r="K104" s="21"/>
      <c r="L104" s="22">
        <f>Table6[[#This Row],[BOT COST]]*Table6[[#This Row],[ORDER QUANTITY]]</f>
        <v>0</v>
      </c>
      <c r="M104" s="43"/>
      <c r="N104" s="43"/>
    </row>
    <row r="105" spans="2:14" ht="20" customHeight="1" x14ac:dyDescent="0.2">
      <c r="B105" s="48" t="s">
        <v>82</v>
      </c>
      <c r="C105" s="48" t="s">
        <v>97</v>
      </c>
      <c r="D105" s="50">
        <v>750</v>
      </c>
      <c r="E105" s="23">
        <v>40</v>
      </c>
      <c r="F105" s="24"/>
      <c r="G105" s="19">
        <f>Table6[[#This Row],[BOT COST]]/(Table6[[#This Row],[BOTTLE SIZE
(ML)]]*0.033814)</f>
        <v>1.5772559689280574</v>
      </c>
      <c r="H105" s="19">
        <f>1.5*Table6[[#This Row],[COST / OUNCE
---
DO NOT EDIT]]</f>
        <v>2.3658839533920863</v>
      </c>
      <c r="I105" s="68">
        <v>20</v>
      </c>
      <c r="J105" s="20">
        <f>Table6[[#This Row],[COST / SERVING
---
DO NOT EDIT]]/Table6[[#This Row],[MENU PRICE]]</f>
        <v>0.11829419766960432</v>
      </c>
      <c r="K105" s="21"/>
      <c r="L105" s="22">
        <f>Table6[[#This Row],[BOT COST]]*Table6[[#This Row],[ORDER QUANTITY]]</f>
        <v>0</v>
      </c>
      <c r="M105" s="43"/>
      <c r="N105" s="43"/>
    </row>
    <row r="106" spans="2:14" ht="20" customHeight="1" x14ac:dyDescent="0.2">
      <c r="B106" s="49" t="s">
        <v>82</v>
      </c>
      <c r="C106" s="49"/>
      <c r="D106" s="50"/>
      <c r="E106" s="23"/>
      <c r="F106" s="24"/>
      <c r="G106" s="19" t="e">
        <f>Table6[[#This Row],[BOT COST]]/(Table6[[#This Row],[BOTTLE SIZE
(ML)]]*0.033814)</f>
        <v>#DIV/0!</v>
      </c>
      <c r="H106" s="19" t="e">
        <f>1.5*Table6[[#This Row],[COST / OUNCE
---
DO NOT EDIT]]</f>
        <v>#DIV/0!</v>
      </c>
      <c r="I106" s="68"/>
      <c r="J106" s="20" t="e">
        <f>Table6[[#This Row],[COST / SERVING
---
DO NOT EDIT]]/Table6[[#This Row],[MENU PRICE]]</f>
        <v>#DIV/0!</v>
      </c>
      <c r="K106" s="21"/>
      <c r="L106" s="22">
        <f>Table6[[#This Row],[BOT COST]]*Table6[[#This Row],[ORDER QUANTITY]]</f>
        <v>0</v>
      </c>
      <c r="M106" s="43"/>
      <c r="N106" s="43"/>
    </row>
    <row r="107" spans="2:14" ht="20" customHeight="1" thickBot="1" x14ac:dyDescent="0.25">
      <c r="B107" s="43" t="s">
        <v>82</v>
      </c>
      <c r="C107" s="43"/>
      <c r="D107" s="50"/>
      <c r="E107" s="23"/>
      <c r="F107" s="24"/>
      <c r="G107" s="19" t="e">
        <f>Table6[[#This Row],[BOT COST]]/(Table6[[#This Row],[BOTTLE SIZE
(ML)]]*0.033814)</f>
        <v>#DIV/0!</v>
      </c>
      <c r="H107" s="19" t="e">
        <f>1.5*Table6[[#This Row],[COST / OUNCE
---
DO NOT EDIT]]</f>
        <v>#DIV/0!</v>
      </c>
      <c r="I107" s="68"/>
      <c r="J107" s="20" t="e">
        <f>Table6[[#This Row],[COST / SERVING
---
DO NOT EDIT]]/Table6[[#This Row],[MENU PRICE]]</f>
        <v>#DIV/0!</v>
      </c>
      <c r="K107" s="63"/>
      <c r="L107" s="64">
        <f>Table6[[#This Row],[BOT COST]]*Table6[[#This Row],[ORDER QUANTITY]]</f>
        <v>0</v>
      </c>
      <c r="M107" s="43"/>
      <c r="N107" s="43"/>
    </row>
    <row r="108" spans="2:14" ht="17" thickBot="1" x14ac:dyDescent="0.25">
      <c r="D108" s="56"/>
      <c r="E108" s="57"/>
      <c r="G108" s="59"/>
      <c r="H108" s="59"/>
      <c r="I108" s="59"/>
      <c r="J108" s="60"/>
      <c r="K108" s="65" t="s">
        <v>90</v>
      </c>
      <c r="L108" s="66"/>
      <c r="M108" s="59"/>
    </row>
    <row r="109" spans="2:14" x14ac:dyDescent="0.2">
      <c r="H109" s="29"/>
      <c r="I109" s="29"/>
      <c r="J109" s="29"/>
      <c r="K109" s="30"/>
      <c r="L109" s="29"/>
      <c r="M109" s="31"/>
    </row>
    <row r="110" spans="2:14" x14ac:dyDescent="0.2">
      <c r="H110" s="29"/>
      <c r="I110" s="29"/>
      <c r="J110" s="29"/>
      <c r="K110" s="30"/>
      <c r="L110" s="29"/>
      <c r="M110" s="31"/>
    </row>
    <row r="111" spans="2:14" x14ac:dyDescent="0.2">
      <c r="H111" s="29"/>
      <c r="I111" s="29"/>
      <c r="J111" s="29"/>
      <c r="K111" s="30"/>
      <c r="L111" s="29"/>
      <c r="M111" s="31"/>
    </row>
    <row r="112" spans="2:14" x14ac:dyDescent="0.2">
      <c r="D112" s="61"/>
      <c r="E112" s="61"/>
      <c r="H112" s="29"/>
      <c r="I112" s="29"/>
      <c r="J112" s="29"/>
      <c r="K112" s="30"/>
      <c r="L112" s="29"/>
      <c r="M112" s="31"/>
    </row>
    <row r="113" spans="3:13" x14ac:dyDescent="0.2">
      <c r="C113" s="62"/>
      <c r="D113" s="61"/>
      <c r="E113" s="61"/>
      <c r="H113" s="29"/>
      <c r="I113" s="29"/>
      <c r="J113" s="29"/>
      <c r="K113" s="30"/>
      <c r="L113" s="29"/>
      <c r="M113" s="31"/>
    </row>
    <row r="114" spans="3:13" x14ac:dyDescent="0.2">
      <c r="D114" s="61"/>
      <c r="E114" s="61"/>
      <c r="H114" s="29"/>
      <c r="I114" s="29"/>
      <c r="J114" s="29"/>
      <c r="K114" s="30"/>
      <c r="L114" s="29"/>
      <c r="M114" s="31"/>
    </row>
    <row r="115" spans="3:13" x14ac:dyDescent="0.2">
      <c r="D115" s="61"/>
      <c r="E115" s="61"/>
      <c r="H115" s="29"/>
      <c r="I115" s="29"/>
      <c r="J115" s="29"/>
      <c r="K115" s="30"/>
      <c r="L115" s="29"/>
      <c r="M115" s="31"/>
    </row>
    <row r="116" spans="3:13" x14ac:dyDescent="0.2">
      <c r="D116" s="61"/>
      <c r="E116" s="61"/>
      <c r="H116" s="29"/>
      <c r="I116" s="29"/>
      <c r="J116" s="29"/>
      <c r="K116" s="30"/>
      <c r="L116" s="29"/>
      <c r="M116" s="31"/>
    </row>
    <row r="117" spans="3:13" x14ac:dyDescent="0.2">
      <c r="D117" s="61"/>
      <c r="E117" s="61"/>
      <c r="H117" s="29"/>
      <c r="I117" s="29"/>
      <c r="J117" s="29"/>
      <c r="K117" s="30"/>
      <c r="L117" s="29"/>
      <c r="M117" s="31"/>
    </row>
    <row r="118" spans="3:13" x14ac:dyDescent="0.2">
      <c r="D118" s="61"/>
      <c r="E118" s="61"/>
      <c r="H118" s="29"/>
      <c r="I118" s="29"/>
      <c r="J118" s="29"/>
      <c r="K118" s="30"/>
      <c r="L118" s="29"/>
      <c r="M118" s="31"/>
    </row>
    <row r="119" spans="3:13" x14ac:dyDescent="0.2">
      <c r="E119" s="61"/>
      <c r="H119" s="29"/>
      <c r="I119" s="29"/>
      <c r="J119" s="29"/>
      <c r="K119" s="30"/>
      <c r="L119" s="29"/>
      <c r="M119" s="31"/>
    </row>
    <row r="120" spans="3:13" x14ac:dyDescent="0.2">
      <c r="H120" s="29"/>
      <c r="I120" s="29"/>
      <c r="J120" s="29"/>
      <c r="K120" s="30"/>
      <c r="L120" s="29"/>
      <c r="M120" s="31"/>
    </row>
    <row r="121" spans="3:13" x14ac:dyDescent="0.2">
      <c r="H121" s="29"/>
      <c r="I121" s="29"/>
      <c r="J121" s="29"/>
      <c r="K121" s="30"/>
      <c r="L121" s="29"/>
      <c r="M121" s="31"/>
    </row>
    <row r="122" spans="3:13" x14ac:dyDescent="0.2">
      <c r="H122" s="29"/>
      <c r="I122" s="29"/>
      <c r="J122" s="29"/>
      <c r="K122" s="30"/>
      <c r="L122" s="29"/>
      <c r="M122" s="31"/>
    </row>
    <row r="123" spans="3:13" x14ac:dyDescent="0.2">
      <c r="H123" s="29"/>
      <c r="I123" s="29"/>
      <c r="J123" s="29"/>
      <c r="K123" s="30"/>
      <c r="L123" s="29"/>
      <c r="M123" s="31"/>
    </row>
    <row r="124" spans="3:13" x14ac:dyDescent="0.2">
      <c r="H124" s="29"/>
      <c r="I124" s="29"/>
      <c r="J124" s="29"/>
      <c r="K124" s="30"/>
      <c r="L124" s="29"/>
      <c r="M124" s="31"/>
    </row>
    <row r="125" spans="3:13" x14ac:dyDescent="0.2">
      <c r="H125" s="29"/>
      <c r="I125" s="29"/>
      <c r="J125" s="29"/>
      <c r="K125" s="30"/>
      <c r="L125" s="29"/>
      <c r="M125" s="31"/>
    </row>
    <row r="126" spans="3:13" x14ac:dyDescent="0.2">
      <c r="H126" s="29"/>
      <c r="I126" s="29"/>
      <c r="J126" s="29"/>
      <c r="K126" s="30"/>
      <c r="L126" s="29"/>
      <c r="M126" s="31"/>
    </row>
    <row r="127" spans="3:13" x14ac:dyDescent="0.2">
      <c r="H127" s="29"/>
      <c r="I127" s="29"/>
      <c r="J127" s="29"/>
      <c r="K127" s="30"/>
      <c r="L127" s="29"/>
      <c r="M127" s="31"/>
    </row>
    <row r="128" spans="3:13" x14ac:dyDescent="0.2">
      <c r="H128" s="29"/>
      <c r="I128" s="29"/>
      <c r="J128" s="29"/>
      <c r="K128" s="30"/>
      <c r="L128" s="29"/>
      <c r="M128" s="31"/>
    </row>
    <row r="129" spans="8:13" x14ac:dyDescent="0.2">
      <c r="H129" s="29"/>
      <c r="I129" s="29"/>
      <c r="J129" s="29"/>
      <c r="K129" s="30"/>
      <c r="L129" s="29"/>
      <c r="M129" s="31"/>
    </row>
    <row r="130" spans="8:13" x14ac:dyDescent="0.2">
      <c r="H130" s="29"/>
      <c r="I130" s="29"/>
      <c r="J130" s="29"/>
      <c r="K130" s="30"/>
      <c r="L130" s="29"/>
      <c r="M130" s="31"/>
    </row>
    <row r="131" spans="8:13" x14ac:dyDescent="0.2">
      <c r="H131" s="29"/>
      <c r="I131" s="29"/>
      <c r="J131" s="29"/>
      <c r="K131" s="30"/>
      <c r="L131" s="29"/>
      <c r="M131" s="31"/>
    </row>
    <row r="132" spans="8:13" x14ac:dyDescent="0.2">
      <c r="H132" s="29"/>
      <c r="I132" s="29"/>
      <c r="J132" s="29"/>
      <c r="K132" s="30"/>
      <c r="L132" s="29"/>
      <c r="M132" s="31"/>
    </row>
    <row r="133" spans="8:13" x14ac:dyDescent="0.2">
      <c r="H133" s="29"/>
      <c r="I133" s="29"/>
      <c r="J133" s="29"/>
      <c r="K133" s="30"/>
      <c r="L133" s="29"/>
      <c r="M133" s="31"/>
    </row>
    <row r="134" spans="8:13" x14ac:dyDescent="0.2">
      <c r="H134" s="29"/>
      <c r="I134" s="29"/>
      <c r="J134" s="29"/>
      <c r="K134" s="30"/>
      <c r="L134" s="29"/>
      <c r="M134" s="31"/>
    </row>
    <row r="135" spans="8:13" x14ac:dyDescent="0.2">
      <c r="H135" s="29"/>
      <c r="I135" s="29"/>
      <c r="J135" s="29"/>
      <c r="K135" s="30"/>
      <c r="L135" s="29"/>
      <c r="M135" s="31"/>
    </row>
    <row r="136" spans="8:13" x14ac:dyDescent="0.2">
      <c r="H136" s="29"/>
      <c r="I136" s="29"/>
      <c r="J136" s="29"/>
      <c r="K136" s="30"/>
      <c r="L136" s="29"/>
      <c r="M136" s="31"/>
    </row>
    <row r="137" spans="8:13" x14ac:dyDescent="0.2">
      <c r="H137" s="29"/>
      <c r="I137" s="29"/>
      <c r="J137" s="29"/>
      <c r="K137" s="30"/>
      <c r="L137" s="29"/>
      <c r="M137" s="31"/>
    </row>
    <row r="138" spans="8:13" x14ac:dyDescent="0.2">
      <c r="H138" s="29"/>
      <c r="I138" s="29"/>
      <c r="J138" s="29"/>
      <c r="K138" s="30"/>
      <c r="L138" s="29"/>
      <c r="M138" s="31"/>
    </row>
    <row r="139" spans="8:13" x14ac:dyDescent="0.2">
      <c r="H139" s="29"/>
      <c r="I139" s="29"/>
      <c r="J139" s="29"/>
      <c r="K139" s="30"/>
      <c r="L139" s="29"/>
      <c r="M139" s="31"/>
    </row>
    <row r="140" spans="8:13" x14ac:dyDescent="0.2">
      <c r="H140" s="29"/>
      <c r="I140" s="29"/>
      <c r="J140" s="29"/>
      <c r="K140" s="30"/>
      <c r="L140" s="29"/>
      <c r="M140" s="31"/>
    </row>
    <row r="141" spans="8:13" x14ac:dyDescent="0.2">
      <c r="H141" s="29"/>
      <c r="I141" s="29"/>
      <c r="J141" s="29"/>
      <c r="K141" s="30"/>
      <c r="L141" s="29"/>
      <c r="M141" s="31"/>
    </row>
    <row r="142" spans="8:13" x14ac:dyDescent="0.2">
      <c r="H142" s="29"/>
      <c r="I142" s="29"/>
      <c r="J142" s="29"/>
      <c r="K142" s="30"/>
      <c r="L142" s="29"/>
      <c r="M142" s="31"/>
    </row>
    <row r="143" spans="8:13" x14ac:dyDescent="0.2">
      <c r="H143" s="29"/>
      <c r="I143" s="29"/>
      <c r="J143" s="29"/>
      <c r="K143" s="30"/>
      <c r="L143" s="29"/>
      <c r="M143" s="31"/>
    </row>
    <row r="144" spans="8:13" x14ac:dyDescent="0.2">
      <c r="H144" s="29"/>
      <c r="I144" s="29"/>
      <c r="J144" s="29"/>
      <c r="K144" s="30"/>
      <c r="L144" s="29"/>
      <c r="M144" s="31"/>
    </row>
    <row r="145" spans="8:13" x14ac:dyDescent="0.2">
      <c r="H145" s="29"/>
      <c r="I145" s="29"/>
      <c r="J145" s="29"/>
      <c r="K145" s="30"/>
      <c r="L145" s="29"/>
      <c r="M145" s="31"/>
    </row>
    <row r="146" spans="8:13" x14ac:dyDescent="0.2">
      <c r="H146" s="29"/>
      <c r="I146" s="29"/>
      <c r="J146" s="29"/>
      <c r="K146" s="30"/>
      <c r="L146" s="29"/>
      <c r="M146" s="31"/>
    </row>
    <row r="147" spans="8:13" x14ac:dyDescent="0.2">
      <c r="H147" s="29"/>
      <c r="I147" s="29"/>
      <c r="J147" s="29"/>
      <c r="K147" s="30"/>
      <c r="L147" s="29"/>
      <c r="M147" s="31"/>
    </row>
    <row r="148" spans="8:13" x14ac:dyDescent="0.2">
      <c r="H148" s="29"/>
      <c r="I148" s="29"/>
      <c r="J148" s="29"/>
      <c r="K148" s="30"/>
      <c r="L148" s="29"/>
      <c r="M148" s="31"/>
    </row>
    <row r="149" spans="8:13" x14ac:dyDescent="0.2">
      <c r="H149" s="29"/>
      <c r="I149" s="29"/>
      <c r="J149" s="29"/>
      <c r="K149" s="30"/>
      <c r="L149" s="29"/>
      <c r="M149" s="31"/>
    </row>
    <row r="150" spans="8:13" x14ac:dyDescent="0.2">
      <c r="H150" s="29"/>
      <c r="I150" s="29"/>
      <c r="J150" s="29"/>
      <c r="K150" s="30"/>
      <c r="L150" s="29"/>
      <c r="M150" s="31"/>
    </row>
    <row r="151" spans="8:13" x14ac:dyDescent="0.2">
      <c r="H151" s="29"/>
      <c r="I151" s="29"/>
      <c r="J151" s="29"/>
      <c r="K151" s="30"/>
      <c r="L151" s="29"/>
      <c r="M151" s="31"/>
    </row>
    <row r="152" spans="8:13" x14ac:dyDescent="0.2">
      <c r="H152" s="29"/>
      <c r="I152" s="29"/>
      <c r="J152" s="29"/>
      <c r="K152" s="30"/>
      <c r="L152" s="29"/>
      <c r="M152" s="31"/>
    </row>
    <row r="153" spans="8:13" x14ac:dyDescent="0.2">
      <c r="H153" s="29"/>
      <c r="I153" s="29"/>
      <c r="J153" s="29"/>
      <c r="K153" s="30"/>
      <c r="L153" s="29"/>
      <c r="M153" s="31"/>
    </row>
    <row r="154" spans="8:13" x14ac:dyDescent="0.2">
      <c r="H154" s="29"/>
      <c r="I154" s="29"/>
      <c r="J154" s="29"/>
      <c r="K154" s="30"/>
      <c r="L154" s="29"/>
      <c r="M154" s="31"/>
    </row>
    <row r="155" spans="8:13" x14ac:dyDescent="0.2">
      <c r="H155" s="29"/>
      <c r="I155" s="29"/>
      <c r="J155" s="29"/>
      <c r="K155" s="30"/>
      <c r="L155" s="29"/>
      <c r="M155" s="31"/>
    </row>
    <row r="156" spans="8:13" x14ac:dyDescent="0.2">
      <c r="H156" s="29"/>
      <c r="I156" s="29"/>
      <c r="J156" s="29"/>
      <c r="K156" s="30"/>
      <c r="L156" s="29"/>
      <c r="M156" s="31"/>
    </row>
    <row r="157" spans="8:13" x14ac:dyDescent="0.2">
      <c r="H157" s="29"/>
      <c r="I157" s="29"/>
      <c r="J157" s="29"/>
      <c r="K157" s="30"/>
      <c r="L157" s="29"/>
      <c r="M157" s="31"/>
    </row>
    <row r="158" spans="8:13" x14ac:dyDescent="0.2">
      <c r="H158" s="29"/>
      <c r="I158" s="29"/>
      <c r="J158" s="29"/>
      <c r="K158" s="30"/>
      <c r="L158" s="29"/>
      <c r="M158" s="31"/>
    </row>
    <row r="159" spans="8:13" x14ac:dyDescent="0.2">
      <c r="H159" s="29"/>
      <c r="I159" s="29"/>
      <c r="J159" s="29"/>
      <c r="K159" s="30"/>
      <c r="L159" s="29"/>
      <c r="M159" s="31"/>
    </row>
    <row r="160" spans="8:13" x14ac:dyDescent="0.2">
      <c r="H160" s="29"/>
      <c r="I160" s="29"/>
      <c r="J160" s="29"/>
      <c r="K160" s="30"/>
      <c r="L160" s="29"/>
      <c r="M160" s="31"/>
    </row>
    <row r="161" spans="8:13" x14ac:dyDescent="0.2">
      <c r="H161" s="29"/>
      <c r="I161" s="29"/>
      <c r="J161" s="29"/>
      <c r="K161" s="30"/>
      <c r="L161" s="29"/>
      <c r="M161" s="31"/>
    </row>
    <row r="162" spans="8:13" x14ac:dyDescent="0.2">
      <c r="H162" s="29"/>
      <c r="I162" s="29"/>
      <c r="J162" s="29"/>
      <c r="K162" s="30"/>
      <c r="L162" s="29"/>
      <c r="M162" s="31"/>
    </row>
    <row r="163" spans="8:13" x14ac:dyDescent="0.2">
      <c r="H163" s="29"/>
      <c r="I163" s="29"/>
      <c r="J163" s="29"/>
      <c r="K163" s="30"/>
      <c r="L163" s="29"/>
      <c r="M163" s="31"/>
    </row>
    <row r="164" spans="8:13" x14ac:dyDescent="0.2">
      <c r="H164" s="29"/>
      <c r="I164" s="29"/>
      <c r="J164" s="29"/>
      <c r="K164" s="30"/>
      <c r="L164" s="29"/>
      <c r="M164" s="31"/>
    </row>
    <row r="165" spans="8:13" x14ac:dyDescent="0.2">
      <c r="H165" s="29"/>
      <c r="I165" s="29"/>
      <c r="J165" s="29"/>
      <c r="K165" s="30"/>
      <c r="L165" s="29"/>
      <c r="M165" s="31"/>
    </row>
    <row r="166" spans="8:13" x14ac:dyDescent="0.2">
      <c r="H166" s="29"/>
      <c r="I166" s="29"/>
      <c r="J166" s="29"/>
      <c r="K166" s="30"/>
      <c r="L166" s="29"/>
      <c r="M166" s="31"/>
    </row>
    <row r="167" spans="8:13" x14ac:dyDescent="0.2">
      <c r="H167" s="29"/>
      <c r="I167" s="29"/>
      <c r="J167" s="29"/>
      <c r="K167" s="30"/>
      <c r="L167" s="29"/>
      <c r="M167" s="31"/>
    </row>
    <row r="168" spans="8:13" x14ac:dyDescent="0.2">
      <c r="H168" s="29"/>
      <c r="I168" s="29"/>
      <c r="J168" s="29"/>
      <c r="K168" s="30"/>
      <c r="L168" s="29"/>
      <c r="M168" s="31"/>
    </row>
    <row r="169" spans="8:13" x14ac:dyDescent="0.2">
      <c r="H169" s="29"/>
      <c r="I169" s="29"/>
      <c r="J169" s="29"/>
      <c r="K169" s="30"/>
      <c r="L169" s="29"/>
      <c r="M169" s="31"/>
    </row>
    <row r="170" spans="8:13" x14ac:dyDescent="0.2">
      <c r="H170" s="29"/>
      <c r="I170" s="29"/>
      <c r="J170" s="29"/>
      <c r="K170" s="30"/>
      <c r="L170" s="29"/>
      <c r="M170" s="31"/>
    </row>
    <row r="171" spans="8:13" x14ac:dyDescent="0.2">
      <c r="H171" s="29"/>
      <c r="I171" s="29"/>
      <c r="J171" s="29"/>
      <c r="K171" s="30"/>
      <c r="L171" s="29"/>
      <c r="M171" s="31"/>
    </row>
    <row r="172" spans="8:13" x14ac:dyDescent="0.2">
      <c r="H172" s="29"/>
      <c r="I172" s="29"/>
      <c r="J172" s="29"/>
      <c r="K172" s="30"/>
      <c r="L172" s="29"/>
      <c r="M172" s="31"/>
    </row>
    <row r="173" spans="8:13" x14ac:dyDescent="0.2">
      <c r="H173" s="29"/>
      <c r="I173" s="29"/>
      <c r="J173" s="29"/>
      <c r="K173" s="30"/>
      <c r="L173" s="29"/>
      <c r="M173" s="31"/>
    </row>
    <row r="174" spans="8:13" x14ac:dyDescent="0.2">
      <c r="H174" s="29"/>
      <c r="I174" s="29"/>
      <c r="J174" s="29"/>
      <c r="K174" s="30"/>
      <c r="L174" s="29"/>
      <c r="M174" s="31"/>
    </row>
    <row r="175" spans="8:13" x14ac:dyDescent="0.2">
      <c r="H175" s="29"/>
      <c r="I175" s="29"/>
      <c r="J175" s="29"/>
      <c r="K175" s="30"/>
      <c r="L175" s="29"/>
      <c r="M175" s="31"/>
    </row>
    <row r="176" spans="8:13" x14ac:dyDescent="0.2">
      <c r="H176" s="29"/>
      <c r="I176" s="29"/>
      <c r="J176" s="29"/>
      <c r="K176" s="30"/>
      <c r="L176" s="29"/>
      <c r="M176" s="31"/>
    </row>
    <row r="177" spans="8:13" x14ac:dyDescent="0.2">
      <c r="H177" s="29"/>
      <c r="I177" s="29"/>
      <c r="J177" s="29"/>
      <c r="K177" s="30"/>
      <c r="L177" s="29"/>
      <c r="M177" s="31"/>
    </row>
    <row r="178" spans="8:13" x14ac:dyDescent="0.2">
      <c r="H178" s="29"/>
      <c r="I178" s="29"/>
      <c r="J178" s="29"/>
      <c r="K178" s="30"/>
      <c r="L178" s="29"/>
      <c r="M178" s="31"/>
    </row>
    <row r="179" spans="8:13" x14ac:dyDescent="0.2">
      <c r="H179" s="29"/>
      <c r="I179" s="29"/>
      <c r="J179" s="29"/>
      <c r="K179" s="30"/>
      <c r="L179" s="29"/>
      <c r="M179" s="31"/>
    </row>
    <row r="180" spans="8:13" x14ac:dyDescent="0.2">
      <c r="H180" s="29"/>
      <c r="I180" s="29"/>
      <c r="J180" s="29"/>
      <c r="K180" s="30"/>
      <c r="L180" s="29"/>
      <c r="M180" s="31"/>
    </row>
    <row r="181" spans="8:13" x14ac:dyDescent="0.2">
      <c r="H181" s="29"/>
      <c r="I181" s="29"/>
      <c r="J181" s="29"/>
      <c r="K181" s="30"/>
      <c r="L181" s="29"/>
      <c r="M181" s="31"/>
    </row>
    <row r="182" spans="8:13" x14ac:dyDescent="0.2">
      <c r="H182" s="29"/>
      <c r="I182" s="29"/>
      <c r="J182" s="29"/>
      <c r="K182" s="30"/>
      <c r="L182" s="29"/>
      <c r="M182" s="31"/>
    </row>
    <row r="183" spans="8:13" x14ac:dyDescent="0.2">
      <c r="H183" s="29"/>
      <c r="I183" s="29"/>
      <c r="J183" s="29"/>
      <c r="K183" s="30"/>
      <c r="L183" s="29"/>
      <c r="M183" s="31"/>
    </row>
    <row r="184" spans="8:13" x14ac:dyDescent="0.2">
      <c r="H184" s="29"/>
      <c r="I184" s="29"/>
      <c r="J184" s="29"/>
      <c r="K184" s="30"/>
      <c r="L184" s="29"/>
      <c r="M184" s="31"/>
    </row>
    <row r="185" spans="8:13" x14ac:dyDescent="0.2">
      <c r="H185" s="29"/>
      <c r="I185" s="29"/>
      <c r="J185" s="29"/>
      <c r="K185" s="30"/>
      <c r="L185" s="29"/>
      <c r="M185" s="31"/>
    </row>
    <row r="186" spans="8:13" x14ac:dyDescent="0.2">
      <c r="H186" s="29"/>
      <c r="I186" s="29"/>
      <c r="J186" s="29"/>
      <c r="K186" s="30"/>
      <c r="L186" s="29"/>
      <c r="M186" s="31"/>
    </row>
    <row r="187" spans="8:13" x14ac:dyDescent="0.2">
      <c r="H187" s="29"/>
      <c r="I187" s="29"/>
      <c r="J187" s="29"/>
      <c r="K187" s="30"/>
      <c r="L187" s="29"/>
      <c r="M187" s="31"/>
    </row>
    <row r="188" spans="8:13" x14ac:dyDescent="0.2">
      <c r="H188" s="29"/>
      <c r="I188" s="29"/>
      <c r="J188" s="29"/>
      <c r="K188" s="30"/>
      <c r="L188" s="29"/>
      <c r="M188" s="31"/>
    </row>
    <row r="189" spans="8:13" x14ac:dyDescent="0.2">
      <c r="H189" s="29"/>
      <c r="I189" s="29"/>
      <c r="J189" s="29"/>
      <c r="K189" s="30"/>
      <c r="L189" s="29"/>
      <c r="M189" s="31"/>
    </row>
    <row r="190" spans="8:13" x14ac:dyDescent="0.2">
      <c r="H190" s="29"/>
      <c r="I190" s="29"/>
      <c r="J190" s="29"/>
      <c r="K190" s="30"/>
      <c r="L190" s="29"/>
      <c r="M190" s="31"/>
    </row>
    <row r="191" spans="8:13" x14ac:dyDescent="0.2">
      <c r="H191" s="29"/>
      <c r="I191" s="29"/>
      <c r="J191" s="29"/>
      <c r="K191" s="30"/>
      <c r="L191" s="29"/>
      <c r="M191" s="31"/>
    </row>
    <row r="192" spans="8:13" x14ac:dyDescent="0.2">
      <c r="H192" s="29"/>
      <c r="I192" s="29"/>
      <c r="J192" s="29"/>
      <c r="K192" s="30"/>
      <c r="L192" s="29"/>
      <c r="M192" s="31"/>
    </row>
    <row r="193" spans="8:13" x14ac:dyDescent="0.2">
      <c r="H193" s="29"/>
      <c r="I193" s="29"/>
      <c r="J193" s="29"/>
      <c r="K193" s="30"/>
      <c r="L193" s="29"/>
      <c r="M193" s="31"/>
    </row>
    <row r="194" spans="8:13" x14ac:dyDescent="0.2">
      <c r="H194" s="29"/>
      <c r="I194" s="29"/>
      <c r="J194" s="29"/>
      <c r="K194" s="30"/>
      <c r="L194" s="29"/>
      <c r="M194" s="31"/>
    </row>
    <row r="195" spans="8:13" x14ac:dyDescent="0.2">
      <c r="H195" s="29"/>
      <c r="I195" s="29"/>
      <c r="J195" s="29"/>
      <c r="K195" s="30"/>
      <c r="L195" s="29"/>
      <c r="M195" s="31"/>
    </row>
    <row r="196" spans="8:13" x14ac:dyDescent="0.2">
      <c r="H196" s="29"/>
      <c r="I196" s="29"/>
      <c r="J196" s="29"/>
      <c r="K196" s="30"/>
      <c r="L196" s="29"/>
      <c r="M196" s="31"/>
    </row>
    <row r="197" spans="8:13" x14ac:dyDescent="0.2">
      <c r="H197" s="29"/>
      <c r="I197" s="29"/>
      <c r="J197" s="29"/>
      <c r="K197" s="30"/>
      <c r="L197" s="29"/>
      <c r="M197" s="31"/>
    </row>
    <row r="198" spans="8:13" x14ac:dyDescent="0.2">
      <c r="H198" s="29"/>
      <c r="I198" s="29"/>
      <c r="J198" s="29"/>
      <c r="K198" s="30"/>
      <c r="L198" s="29"/>
      <c r="M198" s="31"/>
    </row>
    <row r="199" spans="8:13" x14ac:dyDescent="0.2">
      <c r="H199" s="29"/>
      <c r="I199" s="29"/>
      <c r="J199" s="29"/>
      <c r="K199" s="30"/>
      <c r="L199" s="29"/>
      <c r="M199" s="31"/>
    </row>
    <row r="200" spans="8:13" x14ac:dyDescent="0.2">
      <c r="H200" s="29"/>
      <c r="I200" s="29"/>
      <c r="J200" s="29"/>
      <c r="K200" s="30"/>
      <c r="L200" s="29"/>
      <c r="M200" s="31"/>
    </row>
    <row r="201" spans="8:13" x14ac:dyDescent="0.2">
      <c r="H201" s="29"/>
      <c r="I201" s="29"/>
      <c r="J201" s="29"/>
      <c r="K201" s="30"/>
      <c r="L201" s="29"/>
      <c r="M201" s="31"/>
    </row>
    <row r="202" spans="8:13" x14ac:dyDescent="0.2">
      <c r="H202" s="29"/>
      <c r="I202" s="29"/>
      <c r="J202" s="29"/>
      <c r="K202" s="30"/>
      <c r="L202" s="29"/>
      <c r="M202" s="31"/>
    </row>
    <row r="203" spans="8:13" x14ac:dyDescent="0.2">
      <c r="H203" s="29"/>
      <c r="I203" s="29"/>
      <c r="J203" s="29"/>
      <c r="K203" s="30"/>
      <c r="L203" s="29"/>
      <c r="M203" s="31"/>
    </row>
    <row r="204" spans="8:13" x14ac:dyDescent="0.2">
      <c r="H204" s="29"/>
      <c r="I204" s="29"/>
      <c r="J204" s="29"/>
      <c r="K204" s="30"/>
      <c r="L204" s="29"/>
      <c r="M204" s="31"/>
    </row>
    <row r="205" spans="8:13" x14ac:dyDescent="0.2">
      <c r="H205" s="29"/>
      <c r="I205" s="29"/>
      <c r="J205" s="29"/>
      <c r="K205" s="30"/>
      <c r="L205" s="29"/>
      <c r="M205" s="31"/>
    </row>
    <row r="206" spans="8:13" x14ac:dyDescent="0.2">
      <c r="H206" s="29"/>
      <c r="I206" s="29"/>
      <c r="J206" s="29"/>
      <c r="K206" s="30"/>
      <c r="L206" s="29"/>
      <c r="M206" s="31"/>
    </row>
    <row r="207" spans="8:13" x14ac:dyDescent="0.2">
      <c r="H207" s="29"/>
      <c r="I207" s="29"/>
      <c r="J207" s="29"/>
      <c r="K207" s="30"/>
      <c r="L207" s="29"/>
      <c r="M207" s="31"/>
    </row>
    <row r="208" spans="8:13" x14ac:dyDescent="0.2">
      <c r="H208" s="29"/>
      <c r="I208" s="29"/>
      <c r="J208" s="29"/>
      <c r="K208" s="30"/>
      <c r="L208" s="29"/>
      <c r="M208" s="31"/>
    </row>
    <row r="209" spans="8:13" x14ac:dyDescent="0.2">
      <c r="H209" s="29"/>
      <c r="I209" s="29"/>
      <c r="J209" s="29"/>
      <c r="K209" s="30"/>
      <c r="L209" s="29"/>
      <c r="M209" s="31"/>
    </row>
    <row r="210" spans="8:13" x14ac:dyDescent="0.2">
      <c r="H210" s="29"/>
      <c r="I210" s="29"/>
      <c r="J210" s="29"/>
      <c r="K210" s="30"/>
      <c r="L210" s="29"/>
      <c r="M210" s="31"/>
    </row>
    <row r="211" spans="8:13" ht="15.75" customHeight="1" x14ac:dyDescent="0.2">
      <c r="H211" s="29"/>
      <c r="I211" s="29"/>
      <c r="J211" s="29"/>
      <c r="K211" s="30"/>
      <c r="L211" s="29"/>
      <c r="M211" s="31"/>
    </row>
    <row r="212" spans="8:13" ht="15.75" customHeight="1" x14ac:dyDescent="0.2">
      <c r="H212" s="29"/>
      <c r="I212" s="29"/>
      <c r="J212" s="29"/>
      <c r="K212" s="30"/>
      <c r="L212" s="29"/>
      <c r="M212" s="31"/>
    </row>
    <row r="213" spans="8:13" ht="15.75" customHeight="1" x14ac:dyDescent="0.2">
      <c r="H213" s="29"/>
      <c r="I213" s="29"/>
      <c r="J213" s="29"/>
      <c r="K213" s="30"/>
      <c r="L213" s="29"/>
      <c r="M213" s="31"/>
    </row>
    <row r="214" spans="8:13" ht="15.75" customHeight="1" x14ac:dyDescent="0.2">
      <c r="H214" s="29"/>
      <c r="I214" s="29"/>
      <c r="J214" s="29"/>
      <c r="K214" s="30"/>
      <c r="L214" s="29"/>
      <c r="M214" s="31"/>
    </row>
    <row r="215" spans="8:13" ht="15.75" customHeight="1" x14ac:dyDescent="0.2">
      <c r="H215" s="29"/>
      <c r="I215" s="29"/>
      <c r="J215" s="29"/>
      <c r="K215" s="30"/>
      <c r="L215" s="29"/>
      <c r="M215" s="31"/>
    </row>
    <row r="216" spans="8:13" ht="15.75" customHeight="1" x14ac:dyDescent="0.2">
      <c r="H216" s="29"/>
      <c r="I216" s="29"/>
      <c r="J216" s="29"/>
      <c r="K216" s="30"/>
      <c r="L216" s="29"/>
      <c r="M216" s="3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B6C-A8BE-FF43-8290-BF218E36E3A7}">
  <dimension ref="B1:K16"/>
  <sheetViews>
    <sheetView workbookViewId="0">
      <selection activeCell="D25" sqref="D25"/>
    </sheetView>
  </sheetViews>
  <sheetFormatPr baseColWidth="10" defaultRowHeight="19" x14ac:dyDescent="0.25"/>
  <cols>
    <col min="1" max="1" width="4.83203125" style="1" customWidth="1"/>
    <col min="2" max="2" width="14.33203125" style="1" customWidth="1"/>
    <col min="3" max="3" width="24.83203125" style="1" customWidth="1"/>
    <col min="4" max="4" width="12" style="1" customWidth="1"/>
    <col min="5" max="5" width="11.1640625" style="1" customWidth="1"/>
    <col min="6" max="6" width="10.83203125" style="1"/>
    <col min="7" max="7" width="13.83203125" style="1" customWidth="1"/>
    <col min="8" max="8" width="0" style="1" hidden="1" customWidth="1"/>
    <col min="9" max="9" width="13.83203125" style="1" customWidth="1"/>
    <col min="10" max="10" width="12.6640625" style="1" customWidth="1"/>
    <col min="11" max="11" width="12.33203125" style="1" customWidth="1"/>
    <col min="12" max="16384" width="10.83203125" style="1"/>
  </cols>
  <sheetData>
    <row r="1" spans="2:11" ht="20" thickBot="1" x14ac:dyDescent="0.3"/>
    <row r="2" spans="2:11" ht="19" customHeight="1" x14ac:dyDescent="0.25">
      <c r="B2" s="90" t="s">
        <v>6</v>
      </c>
      <c r="C2" s="91"/>
      <c r="D2" s="91"/>
      <c r="E2" s="91"/>
      <c r="F2" s="91"/>
      <c r="G2" s="92"/>
    </row>
    <row r="3" spans="2:11" ht="20" customHeight="1" thickBot="1" x14ac:dyDescent="0.3">
      <c r="B3" s="93"/>
      <c r="C3" s="94"/>
      <c r="D3" s="94"/>
      <c r="E3" s="94"/>
      <c r="F3" s="94"/>
      <c r="G3" s="95"/>
    </row>
    <row r="4" spans="2:11" ht="58" customHeight="1" thickBot="1" x14ac:dyDescent="0.3">
      <c r="B4" s="5" t="s">
        <v>0</v>
      </c>
      <c r="C4" s="6" t="s">
        <v>1</v>
      </c>
      <c r="D4" s="88" t="s">
        <v>2</v>
      </c>
      <c r="E4" s="6" t="s">
        <v>3</v>
      </c>
      <c r="F4" s="6" t="s">
        <v>4</v>
      </c>
      <c r="G4" s="7" t="s">
        <v>5</v>
      </c>
      <c r="H4" s="71" t="s">
        <v>25</v>
      </c>
      <c r="I4" s="69" t="s">
        <v>93</v>
      </c>
      <c r="J4" s="69" t="s">
        <v>94</v>
      </c>
      <c r="K4" s="69" t="s">
        <v>95</v>
      </c>
    </row>
    <row r="5" spans="2:11" x14ac:dyDescent="0.25">
      <c r="B5" s="74">
        <v>1</v>
      </c>
      <c r="C5" s="4"/>
      <c r="D5" s="4"/>
      <c r="E5" s="8"/>
      <c r="F5" s="85"/>
      <c r="G5" s="75" t="e">
        <f>Table1[[#This Row],[Cost]]/Table1[[#This Row],[Price]]</f>
        <v>#DIV/0!</v>
      </c>
      <c r="H5" s="1" t="e">
        <f>Table1[[#This Row],[Quantity Sold]]*Table1[[#This Row],[COGs%]]</f>
        <v>#DIV/0!</v>
      </c>
      <c r="I5" s="84">
        <f>Table1[[#This Row],[Quantity Sold]]*Table1[[#This Row],[Cost]]</f>
        <v>0</v>
      </c>
      <c r="J5" s="87">
        <f>Table1[[#This Row],[Quantity Sold]]*Table1[[#This Row],[Price]]</f>
        <v>0</v>
      </c>
      <c r="K5" s="87">
        <f>Table1[[#This Row],[Gross Sales]]-Table1[[#This Row],[Total Cost]]</f>
        <v>0</v>
      </c>
    </row>
    <row r="6" spans="2:11" x14ac:dyDescent="0.25">
      <c r="B6" s="76">
        <v>2</v>
      </c>
      <c r="C6" s="2"/>
      <c r="D6" s="4"/>
      <c r="E6" s="9"/>
      <c r="F6" s="85"/>
      <c r="G6" s="77" t="e">
        <f>Table1[[#This Row],[Cost]]/Table1[[#This Row],[Price]]</f>
        <v>#DIV/0!</v>
      </c>
      <c r="H6" s="1" t="e">
        <f>Table1[[#This Row],[Quantity Sold]]*Table1[[#This Row],[COGs%]]</f>
        <v>#DIV/0!</v>
      </c>
      <c r="I6" s="84">
        <f>Table1[[#This Row],[Quantity Sold]]*Table1[[#This Row],[Cost]]</f>
        <v>0</v>
      </c>
      <c r="J6" s="87">
        <f>Table1[[#This Row],[Quantity Sold]]*Table1[[#This Row],[Price]]</f>
        <v>0</v>
      </c>
      <c r="K6" s="87">
        <f>Table1[[#This Row],[Gross Sales]]-Table1[[#This Row],[Total Cost]]</f>
        <v>0</v>
      </c>
    </row>
    <row r="7" spans="2:11" x14ac:dyDescent="0.25">
      <c r="B7" s="76">
        <v>3</v>
      </c>
      <c r="C7" s="2"/>
      <c r="D7" s="4"/>
      <c r="E7" s="9"/>
      <c r="F7" s="85"/>
      <c r="G7" s="77" t="e">
        <f>Table1[[#This Row],[Cost]]/Table1[[#This Row],[Price]]</f>
        <v>#DIV/0!</v>
      </c>
      <c r="H7" s="1" t="e">
        <f>Table1[[#This Row],[Quantity Sold]]*Table1[[#This Row],[COGs%]]</f>
        <v>#DIV/0!</v>
      </c>
      <c r="I7" s="84">
        <f>Table1[[#This Row],[Quantity Sold]]*Table1[[#This Row],[Cost]]</f>
        <v>0</v>
      </c>
      <c r="J7" s="87">
        <f>Table1[[#This Row],[Quantity Sold]]*Table1[[#This Row],[Price]]</f>
        <v>0</v>
      </c>
      <c r="K7" s="87">
        <f>Table1[[#This Row],[Gross Sales]]-Table1[[#This Row],[Total Cost]]</f>
        <v>0</v>
      </c>
    </row>
    <row r="8" spans="2:11" x14ac:dyDescent="0.25">
      <c r="B8" s="76">
        <v>4</v>
      </c>
      <c r="C8" s="2"/>
      <c r="D8" s="4"/>
      <c r="E8" s="9"/>
      <c r="F8" s="85"/>
      <c r="G8" s="77" t="e">
        <f>Table1[[#This Row],[Cost]]/Table1[[#This Row],[Price]]</f>
        <v>#DIV/0!</v>
      </c>
      <c r="H8" s="1" t="e">
        <f>Table1[[#This Row],[Quantity Sold]]*Table1[[#This Row],[COGs%]]</f>
        <v>#DIV/0!</v>
      </c>
      <c r="I8" s="84">
        <f>Table1[[#This Row],[Quantity Sold]]*Table1[[#This Row],[Cost]]</f>
        <v>0</v>
      </c>
      <c r="J8" s="87">
        <f>Table1[[#This Row],[Quantity Sold]]*Table1[[#This Row],[Price]]</f>
        <v>0</v>
      </c>
      <c r="K8" s="87">
        <f>Table1[[#This Row],[Gross Sales]]-Table1[[#This Row],[Total Cost]]</f>
        <v>0</v>
      </c>
    </row>
    <row r="9" spans="2:11" x14ac:dyDescent="0.25">
      <c r="B9" s="76">
        <v>5</v>
      </c>
      <c r="C9" s="2"/>
      <c r="D9" s="4"/>
      <c r="E9" s="9"/>
      <c r="F9" s="85"/>
      <c r="G9" s="77" t="e">
        <f>Table1[[#This Row],[Cost]]/Table1[[#This Row],[Price]]</f>
        <v>#DIV/0!</v>
      </c>
      <c r="H9" s="1" t="e">
        <f>Table1[[#This Row],[Quantity Sold]]*Table1[[#This Row],[COGs%]]</f>
        <v>#DIV/0!</v>
      </c>
      <c r="I9" s="84">
        <f>Table1[[#This Row],[Quantity Sold]]*Table1[[#This Row],[Cost]]</f>
        <v>0</v>
      </c>
      <c r="J9" s="87">
        <f>Table1[[#This Row],[Quantity Sold]]*Table1[[#This Row],[Price]]</f>
        <v>0</v>
      </c>
      <c r="K9" s="87">
        <f>Table1[[#This Row],[Gross Sales]]-Table1[[#This Row],[Total Cost]]</f>
        <v>0</v>
      </c>
    </row>
    <row r="10" spans="2:11" x14ac:dyDescent="0.25">
      <c r="B10" s="76">
        <v>6</v>
      </c>
      <c r="C10" s="2"/>
      <c r="D10" s="4"/>
      <c r="E10" s="9"/>
      <c r="F10" s="85"/>
      <c r="G10" s="77" t="e">
        <f>Table1[[#This Row],[Cost]]/Table1[[#This Row],[Price]]</f>
        <v>#DIV/0!</v>
      </c>
      <c r="H10" s="1" t="e">
        <f>Table1[[#This Row],[Quantity Sold]]*Table1[[#This Row],[COGs%]]</f>
        <v>#DIV/0!</v>
      </c>
      <c r="I10" s="84">
        <f>Table1[[#This Row],[Quantity Sold]]*Table1[[#This Row],[Cost]]</f>
        <v>0</v>
      </c>
      <c r="J10" s="87">
        <f>Table1[[#This Row],[Quantity Sold]]*Table1[[#This Row],[Price]]</f>
        <v>0</v>
      </c>
      <c r="K10" s="87">
        <f>Table1[[#This Row],[Gross Sales]]-Table1[[#This Row],[Total Cost]]</f>
        <v>0</v>
      </c>
    </row>
    <row r="11" spans="2:11" x14ac:dyDescent="0.25">
      <c r="B11" s="76">
        <v>7</v>
      </c>
      <c r="C11" s="2"/>
      <c r="D11" s="4"/>
      <c r="E11" s="9"/>
      <c r="F11" s="85"/>
      <c r="G11" s="77" t="e">
        <f>Table1[[#This Row],[Cost]]/Table1[[#This Row],[Price]]</f>
        <v>#DIV/0!</v>
      </c>
      <c r="H11" s="1" t="e">
        <f>Table1[[#This Row],[Quantity Sold]]*Table1[[#This Row],[COGs%]]</f>
        <v>#DIV/0!</v>
      </c>
      <c r="I11" s="84">
        <f>Table1[[#This Row],[Quantity Sold]]*Table1[[#This Row],[Cost]]</f>
        <v>0</v>
      </c>
      <c r="J11" s="87">
        <f>Table1[[#This Row],[Quantity Sold]]*Table1[[#This Row],[Price]]</f>
        <v>0</v>
      </c>
      <c r="K11" s="87">
        <f>Table1[[#This Row],[Gross Sales]]-Table1[[#This Row],[Total Cost]]</f>
        <v>0</v>
      </c>
    </row>
    <row r="12" spans="2:11" x14ac:dyDescent="0.25">
      <c r="B12" s="76">
        <v>8</v>
      </c>
      <c r="C12" s="2"/>
      <c r="D12" s="4"/>
      <c r="E12" s="9"/>
      <c r="F12" s="85"/>
      <c r="G12" s="77" t="e">
        <f>Table1[[#This Row],[Cost]]/Table1[[#This Row],[Price]]</f>
        <v>#DIV/0!</v>
      </c>
      <c r="H12" s="1" t="e">
        <f>Table1[[#This Row],[Quantity Sold]]*Table1[[#This Row],[COGs%]]</f>
        <v>#DIV/0!</v>
      </c>
      <c r="I12" s="84">
        <f>Table1[[#This Row],[Quantity Sold]]*Table1[[#This Row],[Cost]]</f>
        <v>0</v>
      </c>
      <c r="J12" s="87">
        <f>Table1[[#This Row],[Quantity Sold]]*Table1[[#This Row],[Price]]</f>
        <v>0</v>
      </c>
      <c r="K12" s="87">
        <f>Table1[[#This Row],[Gross Sales]]-Table1[[#This Row],[Total Cost]]</f>
        <v>0</v>
      </c>
    </row>
    <row r="13" spans="2:11" x14ac:dyDescent="0.25">
      <c r="B13" s="76">
        <v>9</v>
      </c>
      <c r="C13" s="2"/>
      <c r="D13" s="4"/>
      <c r="E13" s="9"/>
      <c r="F13" s="85"/>
      <c r="G13" s="77" t="e">
        <f>Table1[[#This Row],[Cost]]/Table1[[#This Row],[Price]]</f>
        <v>#DIV/0!</v>
      </c>
      <c r="H13" s="1" t="e">
        <f>Table1[[#This Row],[Quantity Sold]]*Table1[[#This Row],[COGs%]]</f>
        <v>#DIV/0!</v>
      </c>
      <c r="I13" s="84">
        <f>Table1[[#This Row],[Quantity Sold]]*Table1[[#This Row],[Cost]]</f>
        <v>0</v>
      </c>
      <c r="J13" s="87">
        <f>Table1[[#This Row],[Quantity Sold]]*Table1[[#This Row],[Price]]</f>
        <v>0</v>
      </c>
      <c r="K13" s="87">
        <f>Table1[[#This Row],[Gross Sales]]-Table1[[#This Row],[Total Cost]]</f>
        <v>0</v>
      </c>
    </row>
    <row r="14" spans="2:11" ht="20" thickBot="1" x14ac:dyDescent="0.3">
      <c r="B14" s="78">
        <v>10</v>
      </c>
      <c r="C14" s="79"/>
      <c r="D14" s="4"/>
      <c r="E14" s="80"/>
      <c r="F14" s="86"/>
      <c r="G14" s="81" t="e">
        <f>Table1[[#This Row],[Cost]]/Table1[[#This Row],[Price]]</f>
        <v>#DIV/0!</v>
      </c>
      <c r="H14" s="1" t="e">
        <f>Table1[[#This Row],[Quantity Sold]]*Table1[[#This Row],[COGs%]]</f>
        <v>#DIV/0!</v>
      </c>
      <c r="I14" s="84">
        <f>Table1[[#This Row],[Quantity Sold]]*Table1[[#This Row],[Cost]]</f>
        <v>0</v>
      </c>
      <c r="J14" s="87">
        <f>Table1[[#This Row],[Quantity Sold]]*Table1[[#This Row],[Price]]</f>
        <v>0</v>
      </c>
      <c r="K14" s="87">
        <f>Table1[[#This Row],[Gross Sales]]-Table1[[#This Row],[Total Cost]]</f>
        <v>0</v>
      </c>
    </row>
    <row r="15" spans="2:11" ht="20" hidden="1" customHeight="1" thickBot="1" x14ac:dyDescent="0.3">
      <c r="B15" s="72"/>
      <c r="C15" s="73"/>
      <c r="D15" s="73">
        <f>SUBTOTAL(109,Table1[Quantity Sold])</f>
        <v>0</v>
      </c>
      <c r="E15" s="82"/>
      <c r="F15" s="73"/>
      <c r="G15" s="83"/>
      <c r="H15" s="1" t="e">
        <f>SUBTOTAL(109,Table1[Column1])</f>
        <v>#DIV/0!</v>
      </c>
      <c r="I15" s="3"/>
      <c r="J15" s="3"/>
      <c r="K15" s="3"/>
    </row>
    <row r="16" spans="2:11" ht="20" thickBot="1" x14ac:dyDescent="0.3">
      <c r="G16" s="70" t="e">
        <f>Table1[[#Totals],[Column1]]/Table1[[#Totals],[Quantity Sold]]</f>
        <v>#DIV/0!</v>
      </c>
      <c r="K16" s="89">
        <f>SUM(Table1[[#Data],[#Totals],[Profit]])</f>
        <v>0</v>
      </c>
    </row>
  </sheetData>
  <mergeCells count="1">
    <mergeCell ref="B2:G3"/>
  </mergeCells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F983-44EC-2E49-A4C6-2EB55CE4D007}">
  <dimension ref="B1:K16"/>
  <sheetViews>
    <sheetView zoomScaleNormal="100" workbookViewId="0">
      <selection activeCell="M9" sqref="M9"/>
    </sheetView>
  </sheetViews>
  <sheetFormatPr baseColWidth="10" defaultRowHeight="19" x14ac:dyDescent="0.25"/>
  <cols>
    <col min="1" max="1" width="4.83203125" style="1" customWidth="1"/>
    <col min="2" max="2" width="14.33203125" style="1" customWidth="1"/>
    <col min="3" max="3" width="24.83203125" style="1" customWidth="1"/>
    <col min="4" max="4" width="12" style="1" customWidth="1"/>
    <col min="5" max="5" width="11.1640625" style="1" customWidth="1"/>
    <col min="6" max="6" width="10.83203125" style="1"/>
    <col min="7" max="7" width="13.83203125" style="1" customWidth="1"/>
    <col min="8" max="8" width="0" style="1" hidden="1" customWidth="1"/>
    <col min="9" max="9" width="13.83203125" style="1" customWidth="1"/>
    <col min="10" max="10" width="12.6640625" style="1" customWidth="1"/>
    <col min="11" max="11" width="12.33203125" style="1" customWidth="1"/>
    <col min="12" max="16384" width="10.83203125" style="1"/>
  </cols>
  <sheetData>
    <row r="1" spans="2:11" ht="20" thickBot="1" x14ac:dyDescent="0.3"/>
    <row r="2" spans="2:11" ht="19" customHeight="1" x14ac:dyDescent="0.25">
      <c r="B2" s="90" t="s">
        <v>106</v>
      </c>
      <c r="C2" s="91"/>
      <c r="D2" s="91"/>
      <c r="E2" s="91"/>
      <c r="F2" s="91"/>
      <c r="G2" s="92"/>
    </row>
    <row r="3" spans="2:11" ht="20" customHeight="1" thickBot="1" x14ac:dyDescent="0.3">
      <c r="B3" s="93"/>
      <c r="C3" s="94"/>
      <c r="D3" s="94"/>
      <c r="E3" s="94"/>
      <c r="F3" s="94"/>
      <c r="G3" s="95"/>
    </row>
    <row r="4" spans="2:11" ht="58" customHeight="1" thickBot="1" x14ac:dyDescent="0.3">
      <c r="B4" s="5" t="s">
        <v>0</v>
      </c>
      <c r="C4" s="6" t="s">
        <v>1</v>
      </c>
      <c r="D4" s="88" t="s">
        <v>2</v>
      </c>
      <c r="E4" s="6" t="s">
        <v>3</v>
      </c>
      <c r="F4" s="6" t="s">
        <v>4</v>
      </c>
      <c r="G4" s="7" t="s">
        <v>5</v>
      </c>
      <c r="H4" s="71" t="s">
        <v>25</v>
      </c>
      <c r="I4" s="69" t="s">
        <v>93</v>
      </c>
      <c r="J4" s="69" t="s">
        <v>94</v>
      </c>
      <c r="K4" s="69" t="s">
        <v>95</v>
      </c>
    </row>
    <row r="5" spans="2:11" x14ac:dyDescent="0.25">
      <c r="B5" s="74">
        <v>1</v>
      </c>
      <c r="C5" s="4" t="s">
        <v>7</v>
      </c>
      <c r="D5" s="4">
        <v>300</v>
      </c>
      <c r="E5" s="8">
        <v>1.5</v>
      </c>
      <c r="F5" s="85">
        <v>15</v>
      </c>
      <c r="G5" s="75">
        <f>Table18[[#This Row],[Cost]]/Table18[[#This Row],[Price]]</f>
        <v>0.1</v>
      </c>
      <c r="H5" s="1">
        <f>Table18[[#This Row],[Quantity Sold]]*Table18[[#This Row],[COGs%]]</f>
        <v>30</v>
      </c>
      <c r="I5" s="84">
        <f>Table18[[#This Row],[Quantity Sold]]*Table18[[#This Row],[Cost]]</f>
        <v>450</v>
      </c>
      <c r="J5" s="87">
        <f>Table18[[#This Row],[Quantity Sold]]*Table18[[#This Row],[Price]]</f>
        <v>4500</v>
      </c>
      <c r="K5" s="87">
        <f>Table18[[#This Row],[Gross Sales]]-Table18[[#This Row],[Total Cost]]</f>
        <v>4050</v>
      </c>
    </row>
    <row r="6" spans="2:11" x14ac:dyDescent="0.25">
      <c r="B6" s="76">
        <v>2</v>
      </c>
      <c r="C6" s="2" t="s">
        <v>8</v>
      </c>
      <c r="D6" s="4">
        <v>300</v>
      </c>
      <c r="E6" s="9">
        <v>2</v>
      </c>
      <c r="F6" s="85">
        <v>15</v>
      </c>
      <c r="G6" s="77">
        <f>Table18[[#This Row],[Cost]]/Table18[[#This Row],[Price]]</f>
        <v>0.13333333333333333</v>
      </c>
      <c r="H6" s="1">
        <f>Table18[[#This Row],[Quantity Sold]]*Table18[[#This Row],[COGs%]]</f>
        <v>40</v>
      </c>
      <c r="I6" s="84">
        <f>Table18[[#This Row],[Quantity Sold]]*Table18[[#This Row],[Cost]]</f>
        <v>600</v>
      </c>
      <c r="J6" s="87">
        <f>Table18[[#This Row],[Quantity Sold]]*Table18[[#This Row],[Price]]</f>
        <v>4500</v>
      </c>
      <c r="K6" s="87">
        <f>Table18[[#This Row],[Gross Sales]]-Table18[[#This Row],[Total Cost]]</f>
        <v>3900</v>
      </c>
    </row>
    <row r="7" spans="2:11" x14ac:dyDescent="0.25">
      <c r="B7" s="76">
        <v>3</v>
      </c>
      <c r="C7" s="2" t="s">
        <v>16</v>
      </c>
      <c r="D7" s="4">
        <v>300</v>
      </c>
      <c r="E7" s="9">
        <v>2.25</v>
      </c>
      <c r="F7" s="85">
        <v>15</v>
      </c>
      <c r="G7" s="77">
        <f>Table18[[#This Row],[Cost]]/Table18[[#This Row],[Price]]</f>
        <v>0.15</v>
      </c>
      <c r="H7" s="1">
        <f>Table18[[#This Row],[Quantity Sold]]*Table18[[#This Row],[COGs%]]</f>
        <v>45</v>
      </c>
      <c r="I7" s="84">
        <f>Table18[[#This Row],[Quantity Sold]]*Table18[[#This Row],[Cost]]</f>
        <v>675</v>
      </c>
      <c r="J7" s="87">
        <f>Table18[[#This Row],[Quantity Sold]]*Table18[[#This Row],[Price]]</f>
        <v>4500</v>
      </c>
      <c r="K7" s="87">
        <f>Table18[[#This Row],[Gross Sales]]-Table18[[#This Row],[Total Cost]]</f>
        <v>3825</v>
      </c>
    </row>
    <row r="8" spans="2:11" x14ac:dyDescent="0.25">
      <c r="B8" s="76">
        <v>4</v>
      </c>
      <c r="C8" s="2" t="s">
        <v>13</v>
      </c>
      <c r="D8" s="4">
        <v>300</v>
      </c>
      <c r="E8" s="9">
        <v>2.5</v>
      </c>
      <c r="F8" s="85">
        <v>15</v>
      </c>
      <c r="G8" s="77">
        <f>Table18[[#This Row],[Cost]]/Table18[[#This Row],[Price]]</f>
        <v>0.16666666666666666</v>
      </c>
      <c r="H8" s="1">
        <f>Table18[[#This Row],[Quantity Sold]]*Table18[[#This Row],[COGs%]]</f>
        <v>50</v>
      </c>
      <c r="I8" s="84">
        <f>Table18[[#This Row],[Quantity Sold]]*Table18[[#This Row],[Cost]]</f>
        <v>750</v>
      </c>
      <c r="J8" s="87">
        <f>Table18[[#This Row],[Quantity Sold]]*Table18[[#This Row],[Price]]</f>
        <v>4500</v>
      </c>
      <c r="K8" s="87">
        <f>Table18[[#This Row],[Gross Sales]]-Table18[[#This Row],[Total Cost]]</f>
        <v>3750</v>
      </c>
    </row>
    <row r="9" spans="2:11" x14ac:dyDescent="0.25">
      <c r="B9" s="76">
        <v>5</v>
      </c>
      <c r="C9" s="2" t="s">
        <v>10</v>
      </c>
      <c r="D9" s="4">
        <v>300</v>
      </c>
      <c r="E9" s="9">
        <v>2.75</v>
      </c>
      <c r="F9" s="85">
        <v>15</v>
      </c>
      <c r="G9" s="77">
        <f>Table18[[#This Row],[Cost]]/Table18[[#This Row],[Price]]</f>
        <v>0.18333333333333332</v>
      </c>
      <c r="H9" s="1">
        <f>Table18[[#This Row],[Quantity Sold]]*Table18[[#This Row],[COGs%]]</f>
        <v>54.999999999999993</v>
      </c>
      <c r="I9" s="84">
        <f>Table18[[#This Row],[Quantity Sold]]*Table18[[#This Row],[Cost]]</f>
        <v>825</v>
      </c>
      <c r="J9" s="87">
        <f>Table18[[#This Row],[Quantity Sold]]*Table18[[#This Row],[Price]]</f>
        <v>4500</v>
      </c>
      <c r="K9" s="87">
        <f>Table18[[#This Row],[Gross Sales]]-Table18[[#This Row],[Total Cost]]</f>
        <v>3675</v>
      </c>
    </row>
    <row r="10" spans="2:11" x14ac:dyDescent="0.25">
      <c r="B10" s="76">
        <v>6</v>
      </c>
      <c r="C10" s="2" t="s">
        <v>11</v>
      </c>
      <c r="D10" s="4">
        <v>300</v>
      </c>
      <c r="E10" s="9">
        <v>3</v>
      </c>
      <c r="F10" s="85">
        <v>15</v>
      </c>
      <c r="G10" s="77">
        <f>Table18[[#This Row],[Cost]]/Table18[[#This Row],[Price]]</f>
        <v>0.2</v>
      </c>
      <c r="H10" s="1">
        <f>Table18[[#This Row],[Quantity Sold]]*Table18[[#This Row],[COGs%]]</f>
        <v>60</v>
      </c>
      <c r="I10" s="84">
        <f>Table18[[#This Row],[Quantity Sold]]*Table18[[#This Row],[Cost]]</f>
        <v>900</v>
      </c>
      <c r="J10" s="87">
        <f>Table18[[#This Row],[Quantity Sold]]*Table18[[#This Row],[Price]]</f>
        <v>4500</v>
      </c>
      <c r="K10" s="87">
        <f>Table18[[#This Row],[Gross Sales]]-Table18[[#This Row],[Total Cost]]</f>
        <v>3600</v>
      </c>
    </row>
    <row r="11" spans="2:11" x14ac:dyDescent="0.25">
      <c r="B11" s="76">
        <v>7</v>
      </c>
      <c r="C11" s="2" t="s">
        <v>12</v>
      </c>
      <c r="D11" s="4">
        <v>300</v>
      </c>
      <c r="E11" s="9">
        <v>3.25</v>
      </c>
      <c r="F11" s="85">
        <v>15</v>
      </c>
      <c r="G11" s="77">
        <f>Table18[[#This Row],[Cost]]/Table18[[#This Row],[Price]]</f>
        <v>0.21666666666666667</v>
      </c>
      <c r="H11" s="1">
        <f>Table18[[#This Row],[Quantity Sold]]*Table18[[#This Row],[COGs%]]</f>
        <v>65</v>
      </c>
      <c r="I11" s="84">
        <f>Table18[[#This Row],[Quantity Sold]]*Table18[[#This Row],[Cost]]</f>
        <v>975</v>
      </c>
      <c r="J11" s="87">
        <f>Table18[[#This Row],[Quantity Sold]]*Table18[[#This Row],[Price]]</f>
        <v>4500</v>
      </c>
      <c r="K11" s="87">
        <f>Table18[[#This Row],[Gross Sales]]-Table18[[#This Row],[Total Cost]]</f>
        <v>3525</v>
      </c>
    </row>
    <row r="12" spans="2:11" x14ac:dyDescent="0.25">
      <c r="B12" s="76">
        <v>8</v>
      </c>
      <c r="C12" s="2" t="s">
        <v>14</v>
      </c>
      <c r="D12" s="4">
        <v>300</v>
      </c>
      <c r="E12" s="9">
        <v>3.75</v>
      </c>
      <c r="F12" s="85">
        <v>15</v>
      </c>
      <c r="G12" s="77">
        <f>Table18[[#This Row],[Cost]]/Table18[[#This Row],[Price]]</f>
        <v>0.25</v>
      </c>
      <c r="H12" s="1">
        <f>Table18[[#This Row],[Quantity Sold]]*Table18[[#This Row],[COGs%]]</f>
        <v>75</v>
      </c>
      <c r="I12" s="84">
        <f>Table18[[#This Row],[Quantity Sold]]*Table18[[#This Row],[Cost]]</f>
        <v>1125</v>
      </c>
      <c r="J12" s="87">
        <f>Table18[[#This Row],[Quantity Sold]]*Table18[[#This Row],[Price]]</f>
        <v>4500</v>
      </c>
      <c r="K12" s="87">
        <f>Table18[[#This Row],[Gross Sales]]-Table18[[#This Row],[Total Cost]]</f>
        <v>3375</v>
      </c>
    </row>
    <row r="13" spans="2:11" x14ac:dyDescent="0.25">
      <c r="B13" s="76">
        <v>9</v>
      </c>
      <c r="C13" s="2" t="s">
        <v>15</v>
      </c>
      <c r="D13" s="4">
        <v>300</v>
      </c>
      <c r="E13" s="9">
        <v>4.25</v>
      </c>
      <c r="F13" s="85">
        <v>15</v>
      </c>
      <c r="G13" s="77">
        <f>Table18[[#This Row],[Cost]]/Table18[[#This Row],[Price]]</f>
        <v>0.28333333333333333</v>
      </c>
      <c r="H13" s="1">
        <f>Table18[[#This Row],[Quantity Sold]]*Table18[[#This Row],[COGs%]]</f>
        <v>85</v>
      </c>
      <c r="I13" s="84">
        <f>Table18[[#This Row],[Quantity Sold]]*Table18[[#This Row],[Cost]]</f>
        <v>1275</v>
      </c>
      <c r="J13" s="87">
        <f>Table18[[#This Row],[Quantity Sold]]*Table18[[#This Row],[Price]]</f>
        <v>4500</v>
      </c>
      <c r="K13" s="87">
        <f>Table18[[#This Row],[Gross Sales]]-Table18[[#This Row],[Total Cost]]</f>
        <v>3225</v>
      </c>
    </row>
    <row r="14" spans="2:11" ht="20" thickBot="1" x14ac:dyDescent="0.3">
      <c r="B14" s="78">
        <v>10</v>
      </c>
      <c r="C14" s="79" t="s">
        <v>9</v>
      </c>
      <c r="D14" s="4">
        <v>300</v>
      </c>
      <c r="E14" s="80">
        <v>4.5</v>
      </c>
      <c r="F14" s="86">
        <v>15</v>
      </c>
      <c r="G14" s="81">
        <f>Table18[[#This Row],[Cost]]/Table18[[#This Row],[Price]]</f>
        <v>0.3</v>
      </c>
      <c r="H14" s="1">
        <f>Table18[[#This Row],[Quantity Sold]]*Table18[[#This Row],[COGs%]]</f>
        <v>90</v>
      </c>
      <c r="I14" s="84">
        <f>Table18[[#This Row],[Quantity Sold]]*Table18[[#This Row],[Cost]]</f>
        <v>1350</v>
      </c>
      <c r="J14" s="87">
        <f>Table18[[#This Row],[Quantity Sold]]*Table18[[#This Row],[Price]]</f>
        <v>4500</v>
      </c>
      <c r="K14" s="87">
        <f>Table18[[#This Row],[Gross Sales]]-Table18[[#This Row],[Total Cost]]</f>
        <v>3150</v>
      </c>
    </row>
    <row r="15" spans="2:11" ht="20" hidden="1" customHeight="1" x14ac:dyDescent="0.25">
      <c r="B15" s="72"/>
      <c r="C15" s="73"/>
      <c r="D15" s="73">
        <f>SUBTOTAL(109,Table18[Quantity Sold])</f>
        <v>3000</v>
      </c>
      <c r="E15" s="82"/>
      <c r="F15" s="73"/>
      <c r="G15" s="83"/>
      <c r="H15" s="1">
        <f>SUBTOTAL(109,Table18[Column1])</f>
        <v>595</v>
      </c>
      <c r="I15" s="3"/>
      <c r="J15" s="3"/>
      <c r="K15" s="3"/>
    </row>
    <row r="16" spans="2:11" ht="20" thickBot="1" x14ac:dyDescent="0.3">
      <c r="G16" s="70">
        <f>Table18[[#Totals],[Column1]]/Table18[[#Totals],[Quantity Sold]]</f>
        <v>0.19833333333333333</v>
      </c>
      <c r="K16" s="89">
        <f>SUM(Table18[[#Data],[#Totals],[Profit]])</f>
        <v>36075</v>
      </c>
    </row>
  </sheetData>
  <mergeCells count="1">
    <mergeCell ref="B2:G3"/>
  </mergeCells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4810-D876-1641-BC56-695072BF0925}">
  <dimension ref="B1:K16"/>
  <sheetViews>
    <sheetView workbookViewId="0">
      <selection activeCell="B2" sqref="B2:G3"/>
    </sheetView>
  </sheetViews>
  <sheetFormatPr baseColWidth="10" defaultRowHeight="19" x14ac:dyDescent="0.25"/>
  <cols>
    <col min="1" max="1" width="4.83203125" style="1" customWidth="1"/>
    <col min="2" max="2" width="14.33203125" style="1" customWidth="1"/>
    <col min="3" max="3" width="24.83203125" style="1" customWidth="1"/>
    <col min="4" max="4" width="12" style="1" customWidth="1"/>
    <col min="5" max="5" width="11.1640625" style="1" customWidth="1"/>
    <col min="6" max="6" width="10.83203125" style="1"/>
    <col min="7" max="7" width="13.83203125" style="1" customWidth="1"/>
    <col min="8" max="8" width="0" style="1" hidden="1" customWidth="1"/>
    <col min="9" max="9" width="13.83203125" style="1" customWidth="1"/>
    <col min="10" max="10" width="12.6640625" style="1" customWidth="1"/>
    <col min="11" max="11" width="12.33203125" style="1" customWidth="1"/>
    <col min="12" max="16384" width="10.83203125" style="1"/>
  </cols>
  <sheetData>
    <row r="1" spans="2:11" ht="20" thickBot="1" x14ac:dyDescent="0.3"/>
    <row r="2" spans="2:11" ht="19" customHeight="1" x14ac:dyDescent="0.25">
      <c r="B2" s="90" t="s">
        <v>98</v>
      </c>
      <c r="C2" s="91"/>
      <c r="D2" s="91"/>
      <c r="E2" s="91"/>
      <c r="F2" s="91"/>
      <c r="G2" s="92"/>
    </row>
    <row r="3" spans="2:11" ht="20" customHeight="1" thickBot="1" x14ac:dyDescent="0.3">
      <c r="B3" s="93"/>
      <c r="C3" s="94"/>
      <c r="D3" s="94"/>
      <c r="E3" s="94"/>
      <c r="F3" s="94"/>
      <c r="G3" s="95"/>
    </row>
    <row r="4" spans="2:11" ht="58" customHeight="1" thickBot="1" x14ac:dyDescent="0.3">
      <c r="B4" s="5" t="s">
        <v>0</v>
      </c>
      <c r="C4" s="6" t="s">
        <v>1</v>
      </c>
      <c r="D4" s="88" t="s">
        <v>2</v>
      </c>
      <c r="E4" s="6" t="s">
        <v>3</v>
      </c>
      <c r="F4" s="6" t="s">
        <v>4</v>
      </c>
      <c r="G4" s="7" t="s">
        <v>5</v>
      </c>
      <c r="H4" s="71" t="s">
        <v>25</v>
      </c>
      <c r="I4" s="69" t="s">
        <v>93</v>
      </c>
      <c r="J4" s="69" t="s">
        <v>94</v>
      </c>
      <c r="K4" s="69" t="s">
        <v>95</v>
      </c>
    </row>
    <row r="5" spans="2:11" x14ac:dyDescent="0.25">
      <c r="B5" s="74">
        <v>1</v>
      </c>
      <c r="C5" s="4" t="s">
        <v>9</v>
      </c>
      <c r="D5" s="4">
        <v>570</v>
      </c>
      <c r="E5" s="8">
        <v>4.5</v>
      </c>
      <c r="F5" s="85">
        <v>15</v>
      </c>
      <c r="G5" s="75">
        <f>Table17[[#This Row],[Cost]]/Table17[[#This Row],[Price]]</f>
        <v>0.3</v>
      </c>
      <c r="H5" s="1">
        <f>Table17[[#This Row],[Quantity Sold]]*Table17[[#This Row],[COGs%]]</f>
        <v>171</v>
      </c>
      <c r="I5" s="84">
        <f>Table17[[#This Row],[Quantity Sold]]*Table17[[#This Row],[Cost]]</f>
        <v>2565</v>
      </c>
      <c r="J5" s="87">
        <f>Table17[[#This Row],[Quantity Sold]]*Table17[[#This Row],[Price]]</f>
        <v>8550</v>
      </c>
      <c r="K5" s="87">
        <f>Table17[[#This Row],[Gross Sales]]-Table17[[#This Row],[Total Cost]]</f>
        <v>5985</v>
      </c>
    </row>
    <row r="6" spans="2:11" x14ac:dyDescent="0.25">
      <c r="B6" s="76">
        <v>2</v>
      </c>
      <c r="C6" s="2" t="s">
        <v>15</v>
      </c>
      <c r="D6" s="4">
        <v>510</v>
      </c>
      <c r="E6" s="9">
        <v>4.25</v>
      </c>
      <c r="F6" s="85">
        <v>15</v>
      </c>
      <c r="G6" s="77">
        <f>Table17[[#This Row],[Cost]]/Table17[[#This Row],[Price]]</f>
        <v>0.28333333333333333</v>
      </c>
      <c r="H6" s="1">
        <f>Table17[[#This Row],[Quantity Sold]]*Table17[[#This Row],[COGs%]]</f>
        <v>144.5</v>
      </c>
      <c r="I6" s="84">
        <f>Table17[[#This Row],[Quantity Sold]]*Table17[[#This Row],[Cost]]</f>
        <v>2167.5</v>
      </c>
      <c r="J6" s="87">
        <f>Table17[[#This Row],[Quantity Sold]]*Table17[[#This Row],[Price]]</f>
        <v>7650</v>
      </c>
      <c r="K6" s="87">
        <f>Table17[[#This Row],[Gross Sales]]-Table17[[#This Row],[Total Cost]]</f>
        <v>5482.5</v>
      </c>
    </row>
    <row r="7" spans="2:11" x14ac:dyDescent="0.25">
      <c r="B7" s="76">
        <v>3</v>
      </c>
      <c r="C7" s="2" t="s">
        <v>14</v>
      </c>
      <c r="D7" s="4">
        <v>450</v>
      </c>
      <c r="E7" s="9">
        <v>3.75</v>
      </c>
      <c r="F7" s="85">
        <v>15</v>
      </c>
      <c r="G7" s="77">
        <f>Table17[[#This Row],[Cost]]/Table17[[#This Row],[Price]]</f>
        <v>0.25</v>
      </c>
      <c r="H7" s="1">
        <f>Table17[[#This Row],[Quantity Sold]]*Table17[[#This Row],[COGs%]]</f>
        <v>112.5</v>
      </c>
      <c r="I7" s="84">
        <f>Table17[[#This Row],[Quantity Sold]]*Table17[[#This Row],[Cost]]</f>
        <v>1687.5</v>
      </c>
      <c r="J7" s="87">
        <f>Table17[[#This Row],[Quantity Sold]]*Table17[[#This Row],[Price]]</f>
        <v>6750</v>
      </c>
      <c r="K7" s="87">
        <f>Table17[[#This Row],[Gross Sales]]-Table17[[#This Row],[Total Cost]]</f>
        <v>5062.5</v>
      </c>
    </row>
    <row r="8" spans="2:11" x14ac:dyDescent="0.25">
      <c r="B8" s="76">
        <v>4</v>
      </c>
      <c r="C8" s="2" t="s">
        <v>12</v>
      </c>
      <c r="D8" s="4">
        <v>390</v>
      </c>
      <c r="E8" s="9">
        <v>3.25</v>
      </c>
      <c r="F8" s="85">
        <v>15</v>
      </c>
      <c r="G8" s="77">
        <f>Table17[[#This Row],[Cost]]/Table17[[#This Row],[Price]]</f>
        <v>0.21666666666666667</v>
      </c>
      <c r="H8" s="1">
        <f>Table17[[#This Row],[Quantity Sold]]*Table17[[#This Row],[COGs%]]</f>
        <v>84.5</v>
      </c>
      <c r="I8" s="84">
        <f>Table17[[#This Row],[Quantity Sold]]*Table17[[#This Row],[Cost]]</f>
        <v>1267.5</v>
      </c>
      <c r="J8" s="87">
        <f>Table17[[#This Row],[Quantity Sold]]*Table17[[#This Row],[Price]]</f>
        <v>5850</v>
      </c>
      <c r="K8" s="87">
        <f>Table17[[#This Row],[Gross Sales]]-Table17[[#This Row],[Total Cost]]</f>
        <v>4582.5</v>
      </c>
    </row>
    <row r="9" spans="2:11" x14ac:dyDescent="0.25">
      <c r="B9" s="76">
        <v>5</v>
      </c>
      <c r="C9" s="2" t="s">
        <v>11</v>
      </c>
      <c r="D9" s="4">
        <v>330</v>
      </c>
      <c r="E9" s="9">
        <v>3</v>
      </c>
      <c r="F9" s="85">
        <v>15</v>
      </c>
      <c r="G9" s="77">
        <f>Table17[[#This Row],[Cost]]/Table17[[#This Row],[Price]]</f>
        <v>0.2</v>
      </c>
      <c r="H9" s="1">
        <f>Table17[[#This Row],[Quantity Sold]]*Table17[[#This Row],[COGs%]]</f>
        <v>66</v>
      </c>
      <c r="I9" s="84">
        <f>Table17[[#This Row],[Quantity Sold]]*Table17[[#This Row],[Cost]]</f>
        <v>990</v>
      </c>
      <c r="J9" s="87">
        <f>Table17[[#This Row],[Quantity Sold]]*Table17[[#This Row],[Price]]</f>
        <v>4950</v>
      </c>
      <c r="K9" s="87">
        <f>Table17[[#This Row],[Gross Sales]]-Table17[[#This Row],[Total Cost]]</f>
        <v>3960</v>
      </c>
    </row>
    <row r="10" spans="2:11" x14ac:dyDescent="0.25">
      <c r="B10" s="76">
        <v>6</v>
      </c>
      <c r="C10" s="2" t="s">
        <v>10</v>
      </c>
      <c r="D10" s="4">
        <v>270</v>
      </c>
      <c r="E10" s="9">
        <v>2.75</v>
      </c>
      <c r="F10" s="85">
        <v>15</v>
      </c>
      <c r="G10" s="77">
        <f>Table17[[#This Row],[Cost]]/Table17[[#This Row],[Price]]</f>
        <v>0.18333333333333332</v>
      </c>
      <c r="H10" s="1">
        <f>Table17[[#This Row],[Quantity Sold]]*Table17[[#This Row],[COGs%]]</f>
        <v>49.5</v>
      </c>
      <c r="I10" s="84">
        <f>Table17[[#This Row],[Quantity Sold]]*Table17[[#This Row],[Cost]]</f>
        <v>742.5</v>
      </c>
      <c r="J10" s="87">
        <f>Table17[[#This Row],[Quantity Sold]]*Table17[[#This Row],[Price]]</f>
        <v>4050</v>
      </c>
      <c r="K10" s="87">
        <f>Table17[[#This Row],[Gross Sales]]-Table17[[#This Row],[Total Cost]]</f>
        <v>3307.5</v>
      </c>
    </row>
    <row r="11" spans="2:11" x14ac:dyDescent="0.25">
      <c r="B11" s="76">
        <v>7</v>
      </c>
      <c r="C11" s="2" t="s">
        <v>13</v>
      </c>
      <c r="D11" s="4">
        <v>210</v>
      </c>
      <c r="E11" s="9">
        <v>2.5</v>
      </c>
      <c r="F11" s="85">
        <v>15</v>
      </c>
      <c r="G11" s="77">
        <f>Table17[[#This Row],[Cost]]/Table17[[#This Row],[Price]]</f>
        <v>0.16666666666666666</v>
      </c>
      <c r="H11" s="1">
        <f>Table17[[#This Row],[Quantity Sold]]*Table17[[#This Row],[COGs%]]</f>
        <v>35</v>
      </c>
      <c r="I11" s="84">
        <f>Table17[[#This Row],[Quantity Sold]]*Table17[[#This Row],[Cost]]</f>
        <v>525</v>
      </c>
      <c r="J11" s="87">
        <f>Table17[[#This Row],[Quantity Sold]]*Table17[[#This Row],[Price]]</f>
        <v>3150</v>
      </c>
      <c r="K11" s="87">
        <f>Table17[[#This Row],[Gross Sales]]-Table17[[#This Row],[Total Cost]]</f>
        <v>2625</v>
      </c>
    </row>
    <row r="12" spans="2:11" x14ac:dyDescent="0.25">
      <c r="B12" s="76">
        <v>8</v>
      </c>
      <c r="C12" s="2" t="s">
        <v>16</v>
      </c>
      <c r="D12" s="4">
        <v>150</v>
      </c>
      <c r="E12" s="9">
        <v>2.25</v>
      </c>
      <c r="F12" s="85">
        <v>15</v>
      </c>
      <c r="G12" s="77">
        <f>Table17[[#This Row],[Cost]]/Table17[[#This Row],[Price]]</f>
        <v>0.15</v>
      </c>
      <c r="H12" s="1">
        <f>Table17[[#This Row],[Quantity Sold]]*Table17[[#This Row],[COGs%]]</f>
        <v>22.5</v>
      </c>
      <c r="I12" s="84">
        <f>Table17[[#This Row],[Quantity Sold]]*Table17[[#This Row],[Cost]]</f>
        <v>337.5</v>
      </c>
      <c r="J12" s="87">
        <f>Table17[[#This Row],[Quantity Sold]]*Table17[[#This Row],[Price]]</f>
        <v>2250</v>
      </c>
      <c r="K12" s="87">
        <f>Table17[[#This Row],[Gross Sales]]-Table17[[#This Row],[Total Cost]]</f>
        <v>1912.5</v>
      </c>
    </row>
    <row r="13" spans="2:11" x14ac:dyDescent="0.25">
      <c r="B13" s="76">
        <v>9</v>
      </c>
      <c r="C13" s="2" t="s">
        <v>8</v>
      </c>
      <c r="D13" s="4">
        <v>90</v>
      </c>
      <c r="E13" s="9">
        <v>2</v>
      </c>
      <c r="F13" s="85">
        <v>15</v>
      </c>
      <c r="G13" s="77">
        <f>Table17[[#This Row],[Cost]]/Table17[[#This Row],[Price]]</f>
        <v>0.13333333333333333</v>
      </c>
      <c r="H13" s="1">
        <f>Table17[[#This Row],[Quantity Sold]]*Table17[[#This Row],[COGs%]]</f>
        <v>12</v>
      </c>
      <c r="I13" s="84">
        <f>Table17[[#This Row],[Quantity Sold]]*Table17[[#This Row],[Cost]]</f>
        <v>180</v>
      </c>
      <c r="J13" s="87">
        <f>Table17[[#This Row],[Quantity Sold]]*Table17[[#This Row],[Price]]</f>
        <v>1350</v>
      </c>
      <c r="K13" s="87">
        <f>Table17[[#This Row],[Gross Sales]]-Table17[[#This Row],[Total Cost]]</f>
        <v>1170</v>
      </c>
    </row>
    <row r="14" spans="2:11" ht="20" thickBot="1" x14ac:dyDescent="0.3">
      <c r="B14" s="78">
        <v>10</v>
      </c>
      <c r="C14" s="79" t="s">
        <v>7</v>
      </c>
      <c r="D14" s="4">
        <v>30</v>
      </c>
      <c r="E14" s="80">
        <v>1.5</v>
      </c>
      <c r="F14" s="86">
        <v>15</v>
      </c>
      <c r="G14" s="81">
        <f>Table17[[#This Row],[Cost]]/Table17[[#This Row],[Price]]</f>
        <v>0.1</v>
      </c>
      <c r="H14" s="1">
        <f>Table17[[#This Row],[Quantity Sold]]*Table17[[#This Row],[COGs%]]</f>
        <v>3</v>
      </c>
      <c r="I14" s="84">
        <f>Table17[[#This Row],[Quantity Sold]]*Table17[[#This Row],[Cost]]</f>
        <v>45</v>
      </c>
      <c r="J14" s="87">
        <f>Table17[[#This Row],[Quantity Sold]]*Table17[[#This Row],[Price]]</f>
        <v>450</v>
      </c>
      <c r="K14" s="87">
        <f>Table17[[#This Row],[Gross Sales]]-Table17[[#This Row],[Total Cost]]</f>
        <v>405</v>
      </c>
    </row>
    <row r="15" spans="2:11" ht="20" hidden="1" customHeight="1" x14ac:dyDescent="0.25">
      <c r="B15" s="72"/>
      <c r="C15" s="73"/>
      <c r="D15" s="73">
        <f>SUBTOTAL(109,Table17[Quantity Sold])</f>
        <v>3000</v>
      </c>
      <c r="E15" s="82"/>
      <c r="F15" s="73"/>
      <c r="G15" s="83"/>
      <c r="H15" s="1">
        <f>SUBTOTAL(109,Table17[Column1])</f>
        <v>700.5</v>
      </c>
      <c r="I15" s="3"/>
      <c r="J15" s="3"/>
      <c r="K15" s="3"/>
    </row>
    <row r="16" spans="2:11" ht="20" thickBot="1" x14ac:dyDescent="0.3">
      <c r="G16" s="70">
        <f>Table17[[#Totals],[Column1]]/Table17[[#Totals],[Quantity Sold]]</f>
        <v>0.23350000000000001</v>
      </c>
      <c r="K16" s="89">
        <f>SUM(Table17[[#Data],[#Totals],[Profit]])</f>
        <v>34492.5</v>
      </c>
    </row>
  </sheetData>
  <mergeCells count="1">
    <mergeCell ref="B2:G3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8382-23C1-9D4C-BD47-176EFDDE10C1}">
  <dimension ref="B1:K16"/>
  <sheetViews>
    <sheetView workbookViewId="0">
      <selection activeCell="C21" sqref="C21"/>
    </sheetView>
  </sheetViews>
  <sheetFormatPr baseColWidth="10" defaultRowHeight="19" x14ac:dyDescent="0.25"/>
  <cols>
    <col min="1" max="1" width="4.83203125" style="1" customWidth="1"/>
    <col min="2" max="2" width="14.33203125" style="1" customWidth="1"/>
    <col min="3" max="3" width="24.83203125" style="1" customWidth="1"/>
    <col min="4" max="4" width="12" style="1" customWidth="1"/>
    <col min="5" max="5" width="11.1640625" style="1" customWidth="1"/>
    <col min="6" max="6" width="10.83203125" style="1"/>
    <col min="7" max="7" width="13.83203125" style="1" customWidth="1"/>
    <col min="8" max="8" width="0" style="1" hidden="1" customWidth="1"/>
    <col min="9" max="9" width="13.1640625" style="1" customWidth="1"/>
    <col min="10" max="10" width="12.6640625" style="1" customWidth="1"/>
    <col min="11" max="11" width="12.33203125" style="1" customWidth="1"/>
    <col min="12" max="16384" width="10.83203125" style="1"/>
  </cols>
  <sheetData>
    <row r="1" spans="2:11" ht="20" thickBot="1" x14ac:dyDescent="0.3"/>
    <row r="2" spans="2:11" ht="19" customHeight="1" x14ac:dyDescent="0.25">
      <c r="B2" s="90" t="s">
        <v>99</v>
      </c>
      <c r="C2" s="91"/>
      <c r="D2" s="91"/>
      <c r="E2" s="91"/>
      <c r="F2" s="91"/>
      <c r="G2" s="92"/>
    </row>
    <row r="3" spans="2:11" ht="20" customHeight="1" thickBot="1" x14ac:dyDescent="0.3">
      <c r="B3" s="93"/>
      <c r="C3" s="94"/>
      <c r="D3" s="94"/>
      <c r="E3" s="94"/>
      <c r="F3" s="94"/>
      <c r="G3" s="95"/>
    </row>
    <row r="4" spans="2:11" ht="58" customHeight="1" thickBot="1" x14ac:dyDescent="0.3">
      <c r="B4" s="5" t="s">
        <v>0</v>
      </c>
      <c r="C4" s="6" t="s">
        <v>1</v>
      </c>
      <c r="D4" s="88" t="s">
        <v>2</v>
      </c>
      <c r="E4" s="6" t="s">
        <v>3</v>
      </c>
      <c r="F4" s="6" t="s">
        <v>4</v>
      </c>
      <c r="G4" s="7" t="s">
        <v>5</v>
      </c>
      <c r="H4" s="71" t="s">
        <v>25</v>
      </c>
      <c r="I4" s="69" t="s">
        <v>93</v>
      </c>
      <c r="J4" s="69" t="s">
        <v>94</v>
      </c>
      <c r="K4" s="69" t="s">
        <v>95</v>
      </c>
    </row>
    <row r="5" spans="2:11" x14ac:dyDescent="0.25">
      <c r="B5" s="74">
        <v>1</v>
      </c>
      <c r="C5" s="4" t="s">
        <v>7</v>
      </c>
      <c r="D5" s="4">
        <v>570</v>
      </c>
      <c r="E5" s="8">
        <v>1.5</v>
      </c>
      <c r="F5" s="85">
        <v>15</v>
      </c>
      <c r="G5" s="75">
        <f>Table16[[#This Row],[Cost]]/Table16[[#This Row],[Price]]</f>
        <v>0.1</v>
      </c>
      <c r="H5" s="1">
        <f>Table16[[#This Row],[Quantity Sold]]*Table16[[#This Row],[COGs%]]</f>
        <v>57</v>
      </c>
      <c r="I5" s="84">
        <f>Table16[[#This Row],[Quantity Sold]]*Table16[[#This Row],[Cost]]</f>
        <v>855</v>
      </c>
      <c r="J5" s="87">
        <f>Table16[[#This Row],[Quantity Sold]]*Table16[[#This Row],[Price]]</f>
        <v>8550</v>
      </c>
      <c r="K5" s="87">
        <f>Table16[[#This Row],[Gross Sales]]-Table16[[#This Row],[Total Cost]]</f>
        <v>7695</v>
      </c>
    </row>
    <row r="6" spans="2:11" x14ac:dyDescent="0.25">
      <c r="B6" s="76">
        <v>2</v>
      </c>
      <c r="C6" s="2" t="s">
        <v>8</v>
      </c>
      <c r="D6" s="4">
        <v>510</v>
      </c>
      <c r="E6" s="9">
        <v>2</v>
      </c>
      <c r="F6" s="85">
        <v>15</v>
      </c>
      <c r="G6" s="77">
        <f>Table16[[#This Row],[Cost]]/Table16[[#This Row],[Price]]</f>
        <v>0.13333333333333333</v>
      </c>
      <c r="H6" s="1">
        <f>Table16[[#This Row],[Quantity Sold]]*Table16[[#This Row],[COGs%]]</f>
        <v>68</v>
      </c>
      <c r="I6" s="84">
        <f>Table16[[#This Row],[Quantity Sold]]*Table16[[#This Row],[Cost]]</f>
        <v>1020</v>
      </c>
      <c r="J6" s="87">
        <f>Table16[[#This Row],[Quantity Sold]]*Table16[[#This Row],[Price]]</f>
        <v>7650</v>
      </c>
      <c r="K6" s="87">
        <f>Table16[[#This Row],[Gross Sales]]-Table16[[#This Row],[Total Cost]]</f>
        <v>6630</v>
      </c>
    </row>
    <row r="7" spans="2:11" x14ac:dyDescent="0.25">
      <c r="B7" s="76">
        <v>3</v>
      </c>
      <c r="C7" s="2" t="s">
        <v>16</v>
      </c>
      <c r="D7" s="4">
        <v>450</v>
      </c>
      <c r="E7" s="9">
        <v>2.25</v>
      </c>
      <c r="F7" s="85">
        <v>15</v>
      </c>
      <c r="G7" s="77">
        <f>Table16[[#This Row],[Cost]]/Table16[[#This Row],[Price]]</f>
        <v>0.15</v>
      </c>
      <c r="H7" s="1">
        <f>Table16[[#This Row],[Quantity Sold]]*Table16[[#This Row],[COGs%]]</f>
        <v>67.5</v>
      </c>
      <c r="I7" s="84">
        <f>Table16[[#This Row],[Quantity Sold]]*Table16[[#This Row],[Cost]]</f>
        <v>1012.5</v>
      </c>
      <c r="J7" s="87">
        <f>Table16[[#This Row],[Quantity Sold]]*Table16[[#This Row],[Price]]</f>
        <v>6750</v>
      </c>
      <c r="K7" s="87">
        <f>Table16[[#This Row],[Gross Sales]]-Table16[[#This Row],[Total Cost]]</f>
        <v>5737.5</v>
      </c>
    </row>
    <row r="8" spans="2:11" x14ac:dyDescent="0.25">
      <c r="B8" s="76">
        <v>4</v>
      </c>
      <c r="C8" s="2" t="s">
        <v>13</v>
      </c>
      <c r="D8" s="4">
        <v>390</v>
      </c>
      <c r="E8" s="9">
        <v>2.5</v>
      </c>
      <c r="F8" s="85">
        <v>15</v>
      </c>
      <c r="G8" s="77">
        <f>Table16[[#This Row],[Cost]]/Table16[[#This Row],[Price]]</f>
        <v>0.16666666666666666</v>
      </c>
      <c r="H8" s="1">
        <f>Table16[[#This Row],[Quantity Sold]]*Table16[[#This Row],[COGs%]]</f>
        <v>65</v>
      </c>
      <c r="I8" s="84">
        <f>Table16[[#This Row],[Quantity Sold]]*Table16[[#This Row],[Cost]]</f>
        <v>975</v>
      </c>
      <c r="J8" s="87">
        <f>Table16[[#This Row],[Quantity Sold]]*Table16[[#This Row],[Price]]</f>
        <v>5850</v>
      </c>
      <c r="K8" s="87">
        <f>Table16[[#This Row],[Gross Sales]]-Table16[[#This Row],[Total Cost]]</f>
        <v>4875</v>
      </c>
    </row>
    <row r="9" spans="2:11" x14ac:dyDescent="0.25">
      <c r="B9" s="76">
        <v>5</v>
      </c>
      <c r="C9" s="2" t="s">
        <v>10</v>
      </c>
      <c r="D9" s="4">
        <v>330</v>
      </c>
      <c r="E9" s="9">
        <v>2.75</v>
      </c>
      <c r="F9" s="85">
        <v>15</v>
      </c>
      <c r="G9" s="77">
        <f>Table16[[#This Row],[Cost]]/Table16[[#This Row],[Price]]</f>
        <v>0.18333333333333332</v>
      </c>
      <c r="H9" s="1">
        <f>Table16[[#This Row],[Quantity Sold]]*Table16[[#This Row],[COGs%]]</f>
        <v>60.499999999999993</v>
      </c>
      <c r="I9" s="84">
        <f>Table16[[#This Row],[Quantity Sold]]*Table16[[#This Row],[Cost]]</f>
        <v>907.5</v>
      </c>
      <c r="J9" s="87">
        <f>Table16[[#This Row],[Quantity Sold]]*Table16[[#This Row],[Price]]</f>
        <v>4950</v>
      </c>
      <c r="K9" s="87">
        <f>Table16[[#This Row],[Gross Sales]]-Table16[[#This Row],[Total Cost]]</f>
        <v>4042.5</v>
      </c>
    </row>
    <row r="10" spans="2:11" x14ac:dyDescent="0.25">
      <c r="B10" s="76">
        <v>6</v>
      </c>
      <c r="C10" s="2" t="s">
        <v>11</v>
      </c>
      <c r="D10" s="4">
        <v>270</v>
      </c>
      <c r="E10" s="9">
        <v>3</v>
      </c>
      <c r="F10" s="85">
        <v>15</v>
      </c>
      <c r="G10" s="77">
        <f>Table16[[#This Row],[Cost]]/Table16[[#This Row],[Price]]</f>
        <v>0.2</v>
      </c>
      <c r="H10" s="1">
        <f>Table16[[#This Row],[Quantity Sold]]*Table16[[#This Row],[COGs%]]</f>
        <v>54</v>
      </c>
      <c r="I10" s="84">
        <f>Table16[[#This Row],[Quantity Sold]]*Table16[[#This Row],[Cost]]</f>
        <v>810</v>
      </c>
      <c r="J10" s="87">
        <f>Table16[[#This Row],[Quantity Sold]]*Table16[[#This Row],[Price]]</f>
        <v>4050</v>
      </c>
      <c r="K10" s="87">
        <f>Table16[[#This Row],[Gross Sales]]-Table16[[#This Row],[Total Cost]]</f>
        <v>3240</v>
      </c>
    </row>
    <row r="11" spans="2:11" x14ac:dyDescent="0.25">
      <c r="B11" s="76">
        <v>7</v>
      </c>
      <c r="C11" s="2" t="s">
        <v>12</v>
      </c>
      <c r="D11" s="4">
        <v>210</v>
      </c>
      <c r="E11" s="9">
        <v>3.25</v>
      </c>
      <c r="F11" s="85">
        <v>15</v>
      </c>
      <c r="G11" s="77">
        <f>Table16[[#This Row],[Cost]]/Table16[[#This Row],[Price]]</f>
        <v>0.21666666666666667</v>
      </c>
      <c r="H11" s="1">
        <f>Table16[[#This Row],[Quantity Sold]]*Table16[[#This Row],[COGs%]]</f>
        <v>45.5</v>
      </c>
      <c r="I11" s="84">
        <f>Table16[[#This Row],[Quantity Sold]]*Table16[[#This Row],[Cost]]</f>
        <v>682.5</v>
      </c>
      <c r="J11" s="87">
        <f>Table16[[#This Row],[Quantity Sold]]*Table16[[#This Row],[Price]]</f>
        <v>3150</v>
      </c>
      <c r="K11" s="87">
        <f>Table16[[#This Row],[Gross Sales]]-Table16[[#This Row],[Total Cost]]</f>
        <v>2467.5</v>
      </c>
    </row>
    <row r="12" spans="2:11" x14ac:dyDescent="0.25">
      <c r="B12" s="76">
        <v>8</v>
      </c>
      <c r="C12" s="2" t="s">
        <v>14</v>
      </c>
      <c r="D12" s="4">
        <v>150</v>
      </c>
      <c r="E12" s="9">
        <v>3.75</v>
      </c>
      <c r="F12" s="85">
        <v>15</v>
      </c>
      <c r="G12" s="77">
        <f>Table16[[#This Row],[Cost]]/Table16[[#This Row],[Price]]</f>
        <v>0.25</v>
      </c>
      <c r="H12" s="1">
        <f>Table16[[#This Row],[Quantity Sold]]*Table16[[#This Row],[COGs%]]</f>
        <v>37.5</v>
      </c>
      <c r="I12" s="84">
        <f>Table16[[#This Row],[Quantity Sold]]*Table16[[#This Row],[Cost]]</f>
        <v>562.5</v>
      </c>
      <c r="J12" s="87">
        <f>Table16[[#This Row],[Quantity Sold]]*Table16[[#This Row],[Price]]</f>
        <v>2250</v>
      </c>
      <c r="K12" s="87">
        <f>Table16[[#This Row],[Gross Sales]]-Table16[[#This Row],[Total Cost]]</f>
        <v>1687.5</v>
      </c>
    </row>
    <row r="13" spans="2:11" x14ac:dyDescent="0.25">
      <c r="B13" s="76">
        <v>9</v>
      </c>
      <c r="C13" s="2" t="s">
        <v>15</v>
      </c>
      <c r="D13" s="4">
        <v>90</v>
      </c>
      <c r="E13" s="9">
        <v>4.25</v>
      </c>
      <c r="F13" s="85">
        <v>15</v>
      </c>
      <c r="G13" s="77">
        <f>Table16[[#This Row],[Cost]]/Table16[[#This Row],[Price]]</f>
        <v>0.28333333333333333</v>
      </c>
      <c r="H13" s="1">
        <f>Table16[[#This Row],[Quantity Sold]]*Table16[[#This Row],[COGs%]]</f>
        <v>25.5</v>
      </c>
      <c r="I13" s="84">
        <f>Table16[[#This Row],[Quantity Sold]]*Table16[[#This Row],[Cost]]</f>
        <v>382.5</v>
      </c>
      <c r="J13" s="87">
        <f>Table16[[#This Row],[Quantity Sold]]*Table16[[#This Row],[Price]]</f>
        <v>1350</v>
      </c>
      <c r="K13" s="87">
        <f>Table16[[#This Row],[Gross Sales]]-Table16[[#This Row],[Total Cost]]</f>
        <v>967.5</v>
      </c>
    </row>
    <row r="14" spans="2:11" ht="20" thickBot="1" x14ac:dyDescent="0.3">
      <c r="B14" s="78">
        <v>10</v>
      </c>
      <c r="C14" s="79" t="s">
        <v>9</v>
      </c>
      <c r="D14" s="4">
        <v>30</v>
      </c>
      <c r="E14" s="80">
        <v>4.5</v>
      </c>
      <c r="F14" s="86">
        <v>15</v>
      </c>
      <c r="G14" s="81">
        <f>Table16[[#This Row],[Cost]]/Table16[[#This Row],[Price]]</f>
        <v>0.3</v>
      </c>
      <c r="H14" s="1">
        <f>Table16[[#This Row],[Quantity Sold]]*Table16[[#This Row],[COGs%]]</f>
        <v>9</v>
      </c>
      <c r="I14" s="84">
        <f>Table16[[#This Row],[Quantity Sold]]*Table16[[#This Row],[Cost]]</f>
        <v>135</v>
      </c>
      <c r="J14" s="87">
        <f>Table16[[#This Row],[Quantity Sold]]*Table16[[#This Row],[Price]]</f>
        <v>450</v>
      </c>
      <c r="K14" s="87">
        <f>Table16[[#This Row],[Gross Sales]]-Table16[[#This Row],[Total Cost]]</f>
        <v>315</v>
      </c>
    </row>
    <row r="15" spans="2:11" ht="20" hidden="1" customHeight="1" x14ac:dyDescent="0.25">
      <c r="B15" s="72"/>
      <c r="C15" s="73"/>
      <c r="D15" s="73">
        <f>SUBTOTAL(109,Table16[Quantity Sold])</f>
        <v>3000</v>
      </c>
      <c r="E15" s="82"/>
      <c r="F15" s="73"/>
      <c r="G15" s="83"/>
      <c r="H15" s="1">
        <f>SUBTOTAL(109,Table16[Column1])</f>
        <v>489.5</v>
      </c>
      <c r="I15" s="3"/>
      <c r="J15" s="3"/>
      <c r="K15" s="3"/>
    </row>
    <row r="16" spans="2:11" ht="20" thickBot="1" x14ac:dyDescent="0.3">
      <c r="G16" s="70">
        <f>Table16[[#Totals],[Column1]]/Table16[[#Totals],[Quantity Sold]]</f>
        <v>0.16316666666666665</v>
      </c>
      <c r="K16" s="89">
        <f>SUM(Table16[[#Data],[#Totals],[Profit]])</f>
        <v>37657.5</v>
      </c>
    </row>
  </sheetData>
  <mergeCells count="1">
    <mergeCell ref="B2:G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AB8F-8FDD-ED4F-AA32-22931BD1EC8C}">
  <dimension ref="B1:K16"/>
  <sheetViews>
    <sheetView workbookViewId="0">
      <selection activeCell="B2" sqref="B2:G3"/>
    </sheetView>
  </sheetViews>
  <sheetFormatPr baseColWidth="10" defaultRowHeight="19" x14ac:dyDescent="0.25"/>
  <cols>
    <col min="1" max="1" width="4.83203125" style="1" customWidth="1"/>
    <col min="2" max="2" width="14.33203125" style="1" customWidth="1"/>
    <col min="3" max="3" width="24.83203125" style="1" customWidth="1"/>
    <col min="4" max="4" width="12" style="1" customWidth="1"/>
    <col min="5" max="5" width="11.1640625" style="1" customWidth="1"/>
    <col min="6" max="6" width="10.83203125" style="1"/>
    <col min="7" max="7" width="13.83203125" style="1" customWidth="1"/>
    <col min="8" max="8" width="0" style="1" hidden="1" customWidth="1"/>
    <col min="9" max="9" width="13.83203125" style="1" customWidth="1"/>
    <col min="10" max="10" width="12.6640625" style="1" customWidth="1"/>
    <col min="11" max="11" width="12.33203125" style="1" customWidth="1"/>
    <col min="12" max="16384" width="10.83203125" style="1"/>
  </cols>
  <sheetData>
    <row r="1" spans="2:11" ht="20" thickBot="1" x14ac:dyDescent="0.3"/>
    <row r="2" spans="2:11" ht="19" customHeight="1" x14ac:dyDescent="0.25">
      <c r="B2" s="90" t="s">
        <v>100</v>
      </c>
      <c r="C2" s="91"/>
      <c r="D2" s="91"/>
      <c r="E2" s="91"/>
      <c r="F2" s="91"/>
      <c r="G2" s="92"/>
    </row>
    <row r="3" spans="2:11" ht="20" customHeight="1" thickBot="1" x14ac:dyDescent="0.3">
      <c r="B3" s="93"/>
      <c r="C3" s="94"/>
      <c r="D3" s="94"/>
      <c r="E3" s="94"/>
      <c r="F3" s="94"/>
      <c r="G3" s="95"/>
    </row>
    <row r="4" spans="2:11" ht="58" customHeight="1" thickBot="1" x14ac:dyDescent="0.3">
      <c r="B4" s="5" t="s">
        <v>0</v>
      </c>
      <c r="C4" s="6" t="s">
        <v>1</v>
      </c>
      <c r="D4" s="88" t="s">
        <v>2</v>
      </c>
      <c r="E4" s="6" t="s">
        <v>3</v>
      </c>
      <c r="F4" s="6" t="s">
        <v>4</v>
      </c>
      <c r="G4" s="7" t="s">
        <v>5</v>
      </c>
      <c r="H4" s="71" t="s">
        <v>25</v>
      </c>
      <c r="I4" s="69" t="s">
        <v>93</v>
      </c>
      <c r="J4" s="69" t="s">
        <v>94</v>
      </c>
      <c r="K4" s="69" t="s">
        <v>95</v>
      </c>
    </row>
    <row r="5" spans="2:11" x14ac:dyDescent="0.25">
      <c r="B5" s="74">
        <v>1</v>
      </c>
      <c r="C5" s="4" t="s">
        <v>7</v>
      </c>
      <c r="D5" s="4">
        <v>300</v>
      </c>
      <c r="E5" s="8">
        <v>1.5</v>
      </c>
      <c r="F5" s="85">
        <v>15</v>
      </c>
      <c r="G5" s="75">
        <f>Table184[[#This Row],[Cost]]/Table184[[#This Row],[Price]]</f>
        <v>0.1</v>
      </c>
      <c r="H5" s="1">
        <f>Table184[[#This Row],[Quantity Sold]]*Table184[[#This Row],[COGs%]]</f>
        <v>30</v>
      </c>
      <c r="I5" s="84">
        <f>Table184[[#This Row],[Quantity Sold]]*Table184[[#This Row],[Cost]]</f>
        <v>450</v>
      </c>
      <c r="J5" s="87">
        <f>Table184[[#This Row],[Quantity Sold]]*Table184[[#This Row],[Price]]</f>
        <v>4500</v>
      </c>
      <c r="K5" s="87">
        <f>Table184[[#This Row],[Gross Sales]]-Table184[[#This Row],[Total Cost]]</f>
        <v>4050</v>
      </c>
    </row>
    <row r="6" spans="2:11" x14ac:dyDescent="0.25">
      <c r="B6" s="76">
        <v>2</v>
      </c>
      <c r="C6" s="2" t="s">
        <v>8</v>
      </c>
      <c r="D6" s="4">
        <v>300</v>
      </c>
      <c r="E6" s="9">
        <v>1.75</v>
      </c>
      <c r="F6" s="85">
        <v>15</v>
      </c>
      <c r="G6" s="77">
        <f>Table184[[#This Row],[Cost]]/Table184[[#This Row],[Price]]</f>
        <v>0.11666666666666667</v>
      </c>
      <c r="H6" s="1">
        <f>Table184[[#This Row],[Quantity Sold]]*Table184[[#This Row],[COGs%]]</f>
        <v>35</v>
      </c>
      <c r="I6" s="84">
        <f>Table184[[#This Row],[Quantity Sold]]*Table184[[#This Row],[Cost]]</f>
        <v>525</v>
      </c>
      <c r="J6" s="87">
        <f>Table184[[#This Row],[Quantity Sold]]*Table184[[#This Row],[Price]]</f>
        <v>4500</v>
      </c>
      <c r="K6" s="87">
        <f>Table184[[#This Row],[Gross Sales]]-Table184[[#This Row],[Total Cost]]</f>
        <v>3975</v>
      </c>
    </row>
    <row r="7" spans="2:11" x14ac:dyDescent="0.25">
      <c r="B7" s="76">
        <v>3</v>
      </c>
      <c r="C7" s="2" t="s">
        <v>16</v>
      </c>
      <c r="D7" s="4">
        <v>300</v>
      </c>
      <c r="E7" s="9">
        <v>1.8</v>
      </c>
      <c r="F7" s="85">
        <v>15</v>
      </c>
      <c r="G7" s="77">
        <f>Table184[[#This Row],[Cost]]/Table184[[#This Row],[Price]]</f>
        <v>0.12000000000000001</v>
      </c>
      <c r="H7" s="1">
        <f>Table184[[#This Row],[Quantity Sold]]*Table184[[#This Row],[COGs%]]</f>
        <v>36</v>
      </c>
      <c r="I7" s="84">
        <f>Table184[[#This Row],[Quantity Sold]]*Table184[[#This Row],[Cost]]</f>
        <v>540</v>
      </c>
      <c r="J7" s="87">
        <f>Table184[[#This Row],[Quantity Sold]]*Table184[[#This Row],[Price]]</f>
        <v>4500</v>
      </c>
      <c r="K7" s="87">
        <f>Table184[[#This Row],[Gross Sales]]-Table184[[#This Row],[Total Cost]]</f>
        <v>3960</v>
      </c>
    </row>
    <row r="8" spans="2:11" x14ac:dyDescent="0.25">
      <c r="B8" s="76">
        <v>4</v>
      </c>
      <c r="C8" s="2" t="s">
        <v>13</v>
      </c>
      <c r="D8" s="4">
        <v>300</v>
      </c>
      <c r="E8" s="9">
        <v>2</v>
      </c>
      <c r="F8" s="85">
        <v>15</v>
      </c>
      <c r="G8" s="77">
        <f>Table184[[#This Row],[Cost]]/Table184[[#This Row],[Price]]</f>
        <v>0.13333333333333333</v>
      </c>
      <c r="H8" s="1">
        <f>Table184[[#This Row],[Quantity Sold]]*Table184[[#This Row],[COGs%]]</f>
        <v>40</v>
      </c>
      <c r="I8" s="84">
        <f>Table184[[#This Row],[Quantity Sold]]*Table184[[#This Row],[Cost]]</f>
        <v>600</v>
      </c>
      <c r="J8" s="87">
        <f>Table184[[#This Row],[Quantity Sold]]*Table184[[#This Row],[Price]]</f>
        <v>4500</v>
      </c>
      <c r="K8" s="87">
        <f>Table184[[#This Row],[Gross Sales]]-Table184[[#This Row],[Total Cost]]</f>
        <v>3900</v>
      </c>
    </row>
    <row r="9" spans="2:11" x14ac:dyDescent="0.25">
      <c r="B9" s="76">
        <v>5</v>
      </c>
      <c r="C9" s="2" t="s">
        <v>10</v>
      </c>
      <c r="D9" s="4">
        <v>300</v>
      </c>
      <c r="E9" s="9">
        <v>2.1</v>
      </c>
      <c r="F9" s="85">
        <v>15</v>
      </c>
      <c r="G9" s="77">
        <f>Table184[[#This Row],[Cost]]/Table184[[#This Row],[Price]]</f>
        <v>0.14000000000000001</v>
      </c>
      <c r="H9" s="1">
        <f>Table184[[#This Row],[Quantity Sold]]*Table184[[#This Row],[COGs%]]</f>
        <v>42.000000000000007</v>
      </c>
      <c r="I9" s="84">
        <f>Table184[[#This Row],[Quantity Sold]]*Table184[[#This Row],[Cost]]</f>
        <v>630</v>
      </c>
      <c r="J9" s="87">
        <f>Table184[[#This Row],[Quantity Sold]]*Table184[[#This Row],[Price]]</f>
        <v>4500</v>
      </c>
      <c r="K9" s="87">
        <f>Table184[[#This Row],[Gross Sales]]-Table184[[#This Row],[Total Cost]]</f>
        <v>3870</v>
      </c>
    </row>
    <row r="10" spans="2:11" x14ac:dyDescent="0.25">
      <c r="B10" s="76">
        <v>6</v>
      </c>
      <c r="C10" s="2" t="s">
        <v>11</v>
      </c>
      <c r="D10" s="4">
        <v>300</v>
      </c>
      <c r="E10" s="9">
        <v>2.2000000000000002</v>
      </c>
      <c r="F10" s="85">
        <v>15</v>
      </c>
      <c r="G10" s="77">
        <f>Table184[[#This Row],[Cost]]/Table184[[#This Row],[Price]]</f>
        <v>0.14666666666666667</v>
      </c>
      <c r="H10" s="1">
        <f>Table184[[#This Row],[Quantity Sold]]*Table184[[#This Row],[COGs%]]</f>
        <v>44</v>
      </c>
      <c r="I10" s="84">
        <f>Table184[[#This Row],[Quantity Sold]]*Table184[[#This Row],[Cost]]</f>
        <v>660</v>
      </c>
      <c r="J10" s="87">
        <f>Table184[[#This Row],[Quantity Sold]]*Table184[[#This Row],[Price]]</f>
        <v>4500</v>
      </c>
      <c r="K10" s="87">
        <f>Table184[[#This Row],[Gross Sales]]-Table184[[#This Row],[Total Cost]]</f>
        <v>3840</v>
      </c>
    </row>
    <row r="11" spans="2:11" x14ac:dyDescent="0.25">
      <c r="B11" s="76">
        <v>7</v>
      </c>
      <c r="C11" s="2" t="s">
        <v>12</v>
      </c>
      <c r="D11" s="4">
        <v>300</v>
      </c>
      <c r="E11" s="9">
        <v>2.25</v>
      </c>
      <c r="F11" s="85">
        <v>15</v>
      </c>
      <c r="G11" s="77">
        <f>Table184[[#This Row],[Cost]]/Table184[[#This Row],[Price]]</f>
        <v>0.15</v>
      </c>
      <c r="H11" s="1">
        <f>Table184[[#This Row],[Quantity Sold]]*Table184[[#This Row],[COGs%]]</f>
        <v>45</v>
      </c>
      <c r="I11" s="84">
        <f>Table184[[#This Row],[Quantity Sold]]*Table184[[#This Row],[Cost]]</f>
        <v>675</v>
      </c>
      <c r="J11" s="87">
        <f>Table184[[#This Row],[Quantity Sold]]*Table184[[#This Row],[Price]]</f>
        <v>4500</v>
      </c>
      <c r="K11" s="87">
        <f>Table184[[#This Row],[Gross Sales]]-Table184[[#This Row],[Total Cost]]</f>
        <v>3825</v>
      </c>
    </row>
    <row r="12" spans="2:11" x14ac:dyDescent="0.25">
      <c r="B12" s="76">
        <v>8</v>
      </c>
      <c r="C12" s="2" t="s">
        <v>14</v>
      </c>
      <c r="D12" s="4">
        <v>300</v>
      </c>
      <c r="E12" s="9">
        <v>2.5</v>
      </c>
      <c r="F12" s="85">
        <v>15</v>
      </c>
      <c r="G12" s="77">
        <f>Table184[[#This Row],[Cost]]/Table184[[#This Row],[Price]]</f>
        <v>0.16666666666666666</v>
      </c>
      <c r="H12" s="1">
        <f>Table184[[#This Row],[Quantity Sold]]*Table184[[#This Row],[COGs%]]</f>
        <v>50</v>
      </c>
      <c r="I12" s="84">
        <f>Table184[[#This Row],[Quantity Sold]]*Table184[[#This Row],[Cost]]</f>
        <v>750</v>
      </c>
      <c r="J12" s="87">
        <f>Table184[[#This Row],[Quantity Sold]]*Table184[[#This Row],[Price]]</f>
        <v>4500</v>
      </c>
      <c r="K12" s="87">
        <f>Table184[[#This Row],[Gross Sales]]-Table184[[#This Row],[Total Cost]]</f>
        <v>3750</v>
      </c>
    </row>
    <row r="13" spans="2:11" x14ac:dyDescent="0.25">
      <c r="B13" s="76">
        <v>9</v>
      </c>
      <c r="C13" s="2" t="s">
        <v>15</v>
      </c>
      <c r="D13" s="4">
        <v>300</v>
      </c>
      <c r="E13" s="9">
        <v>2.75</v>
      </c>
      <c r="F13" s="85">
        <v>15</v>
      </c>
      <c r="G13" s="77">
        <f>Table184[[#This Row],[Cost]]/Table184[[#This Row],[Price]]</f>
        <v>0.18333333333333332</v>
      </c>
      <c r="H13" s="1">
        <f>Table184[[#This Row],[Quantity Sold]]*Table184[[#This Row],[COGs%]]</f>
        <v>54.999999999999993</v>
      </c>
      <c r="I13" s="84">
        <f>Table184[[#This Row],[Quantity Sold]]*Table184[[#This Row],[Cost]]</f>
        <v>825</v>
      </c>
      <c r="J13" s="87">
        <f>Table184[[#This Row],[Quantity Sold]]*Table184[[#This Row],[Price]]</f>
        <v>4500</v>
      </c>
      <c r="K13" s="87">
        <f>Table184[[#This Row],[Gross Sales]]-Table184[[#This Row],[Total Cost]]</f>
        <v>3675</v>
      </c>
    </row>
    <row r="14" spans="2:11" ht="20" thickBot="1" x14ac:dyDescent="0.3">
      <c r="B14" s="78">
        <v>10</v>
      </c>
      <c r="C14" s="79" t="s">
        <v>9</v>
      </c>
      <c r="D14" s="4">
        <v>300</v>
      </c>
      <c r="E14" s="80">
        <v>2.9</v>
      </c>
      <c r="F14" s="86">
        <v>15</v>
      </c>
      <c r="G14" s="81">
        <f>Table184[[#This Row],[Cost]]/Table184[[#This Row],[Price]]</f>
        <v>0.19333333333333333</v>
      </c>
      <c r="H14" s="1">
        <f>Table184[[#This Row],[Quantity Sold]]*Table184[[#This Row],[COGs%]]</f>
        <v>58</v>
      </c>
      <c r="I14" s="84">
        <f>Table184[[#This Row],[Quantity Sold]]*Table184[[#This Row],[Cost]]</f>
        <v>870</v>
      </c>
      <c r="J14" s="87">
        <f>Table184[[#This Row],[Quantity Sold]]*Table184[[#This Row],[Price]]</f>
        <v>4500</v>
      </c>
      <c r="K14" s="87">
        <f>Table184[[#This Row],[Gross Sales]]-Table184[[#This Row],[Total Cost]]</f>
        <v>3630</v>
      </c>
    </row>
    <row r="15" spans="2:11" ht="20" hidden="1" customHeight="1" x14ac:dyDescent="0.25">
      <c r="B15" s="72"/>
      <c r="C15" s="73"/>
      <c r="D15" s="73">
        <f>SUBTOTAL(109,Table184[Quantity Sold])</f>
        <v>3000</v>
      </c>
      <c r="E15" s="82"/>
      <c r="F15" s="73"/>
      <c r="G15" s="83"/>
      <c r="H15" s="1">
        <f>SUBTOTAL(109,Table184[Column1])</f>
        <v>435</v>
      </c>
      <c r="I15" s="3"/>
      <c r="J15" s="3"/>
      <c r="K15" s="3"/>
    </row>
    <row r="16" spans="2:11" ht="20" thickBot="1" x14ac:dyDescent="0.3">
      <c r="G16" s="70">
        <f>Table184[[#Totals],[Column1]]/Table184[[#Totals],[Quantity Sold]]</f>
        <v>0.14499999999999999</v>
      </c>
      <c r="K16" s="89">
        <f>SUM(Table184[[#Data],[#Totals],[Profit]])</f>
        <v>38475</v>
      </c>
    </row>
  </sheetData>
  <mergeCells count="1">
    <mergeCell ref="B2:G3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3076-57E9-7744-8A78-5C8B2FF2BB82}">
  <dimension ref="B1:K16"/>
  <sheetViews>
    <sheetView workbookViewId="0">
      <selection activeCell="B2" sqref="B2:G3"/>
    </sheetView>
  </sheetViews>
  <sheetFormatPr baseColWidth="10" defaultRowHeight="19" x14ac:dyDescent="0.25"/>
  <cols>
    <col min="1" max="1" width="4.83203125" style="1" customWidth="1"/>
    <col min="2" max="2" width="14.33203125" style="1" customWidth="1"/>
    <col min="3" max="3" width="24.83203125" style="1" customWidth="1"/>
    <col min="4" max="4" width="12" style="1" customWidth="1"/>
    <col min="5" max="5" width="11.1640625" style="1" customWidth="1"/>
    <col min="6" max="6" width="10.83203125" style="1"/>
    <col min="7" max="7" width="13.83203125" style="1" customWidth="1"/>
    <col min="8" max="8" width="0" style="1" hidden="1" customWidth="1"/>
    <col min="9" max="9" width="13.83203125" style="1" customWidth="1"/>
    <col min="10" max="10" width="12.6640625" style="1" customWidth="1"/>
    <col min="11" max="11" width="12.33203125" style="1" customWidth="1"/>
    <col min="12" max="16384" width="10.83203125" style="1"/>
  </cols>
  <sheetData>
    <row r="1" spans="2:11" ht="20" thickBot="1" x14ac:dyDescent="0.3"/>
    <row r="2" spans="2:11" ht="19" customHeight="1" x14ac:dyDescent="0.25">
      <c r="B2" s="90" t="s">
        <v>101</v>
      </c>
      <c r="C2" s="91"/>
      <c r="D2" s="91"/>
      <c r="E2" s="91"/>
      <c r="F2" s="91"/>
      <c r="G2" s="92"/>
    </row>
    <row r="3" spans="2:11" ht="20" customHeight="1" thickBot="1" x14ac:dyDescent="0.3">
      <c r="B3" s="93"/>
      <c r="C3" s="94"/>
      <c r="D3" s="94"/>
      <c r="E3" s="94"/>
      <c r="F3" s="94"/>
      <c r="G3" s="95"/>
    </row>
    <row r="4" spans="2:11" ht="58" customHeight="1" thickBot="1" x14ac:dyDescent="0.3">
      <c r="B4" s="5" t="s">
        <v>0</v>
      </c>
      <c r="C4" s="6" t="s">
        <v>1</v>
      </c>
      <c r="D4" s="88" t="s">
        <v>2</v>
      </c>
      <c r="E4" s="6" t="s">
        <v>3</v>
      </c>
      <c r="F4" s="6" t="s">
        <v>4</v>
      </c>
      <c r="G4" s="7" t="s">
        <v>5</v>
      </c>
      <c r="H4" s="71" t="s">
        <v>25</v>
      </c>
      <c r="I4" s="69" t="s">
        <v>93</v>
      </c>
      <c r="J4" s="69" t="s">
        <v>94</v>
      </c>
      <c r="K4" s="69" t="s">
        <v>95</v>
      </c>
    </row>
    <row r="5" spans="2:11" x14ac:dyDescent="0.25">
      <c r="B5" s="74">
        <v>1</v>
      </c>
      <c r="C5" s="4" t="s">
        <v>7</v>
      </c>
      <c r="D5" s="4">
        <v>570</v>
      </c>
      <c r="E5" s="8">
        <v>1.5</v>
      </c>
      <c r="F5" s="85">
        <v>15</v>
      </c>
      <c r="G5" s="75">
        <f>Table1845[[#This Row],[Cost]]/Table1845[[#This Row],[Price]]</f>
        <v>0.1</v>
      </c>
      <c r="H5" s="1">
        <f>Table1845[[#This Row],[Quantity Sold]]*Table1845[[#This Row],[COGs%]]</f>
        <v>57</v>
      </c>
      <c r="I5" s="84">
        <f>Table1845[[#This Row],[Quantity Sold]]*Table1845[[#This Row],[Cost]]</f>
        <v>855</v>
      </c>
      <c r="J5" s="87">
        <f>Table1845[[#This Row],[Quantity Sold]]*Table1845[[#This Row],[Price]]</f>
        <v>8550</v>
      </c>
      <c r="K5" s="87">
        <f>Table1845[[#This Row],[Gross Sales]]-Table1845[[#This Row],[Total Cost]]</f>
        <v>7695</v>
      </c>
    </row>
    <row r="6" spans="2:11" x14ac:dyDescent="0.25">
      <c r="B6" s="76">
        <v>2</v>
      </c>
      <c r="C6" s="2" t="s">
        <v>8</v>
      </c>
      <c r="D6" s="4">
        <v>510</v>
      </c>
      <c r="E6" s="9">
        <v>1.75</v>
      </c>
      <c r="F6" s="85">
        <v>15</v>
      </c>
      <c r="G6" s="77">
        <f>Table1845[[#This Row],[Cost]]/Table1845[[#This Row],[Price]]</f>
        <v>0.11666666666666667</v>
      </c>
      <c r="H6" s="1">
        <f>Table1845[[#This Row],[Quantity Sold]]*Table1845[[#This Row],[COGs%]]</f>
        <v>59.5</v>
      </c>
      <c r="I6" s="84">
        <f>Table1845[[#This Row],[Quantity Sold]]*Table1845[[#This Row],[Cost]]</f>
        <v>892.5</v>
      </c>
      <c r="J6" s="87">
        <f>Table1845[[#This Row],[Quantity Sold]]*Table1845[[#This Row],[Price]]</f>
        <v>7650</v>
      </c>
      <c r="K6" s="87">
        <f>Table1845[[#This Row],[Gross Sales]]-Table1845[[#This Row],[Total Cost]]</f>
        <v>6757.5</v>
      </c>
    </row>
    <row r="7" spans="2:11" x14ac:dyDescent="0.25">
      <c r="B7" s="76">
        <v>3</v>
      </c>
      <c r="C7" s="2" t="s">
        <v>16</v>
      </c>
      <c r="D7" s="4">
        <v>450</v>
      </c>
      <c r="E7" s="9">
        <v>1.8</v>
      </c>
      <c r="F7" s="85">
        <v>15</v>
      </c>
      <c r="G7" s="77">
        <f>Table1845[[#This Row],[Cost]]/Table1845[[#This Row],[Price]]</f>
        <v>0.12000000000000001</v>
      </c>
      <c r="H7" s="1">
        <f>Table1845[[#This Row],[Quantity Sold]]*Table1845[[#This Row],[COGs%]]</f>
        <v>54.000000000000007</v>
      </c>
      <c r="I7" s="84">
        <f>Table1845[[#This Row],[Quantity Sold]]*Table1845[[#This Row],[Cost]]</f>
        <v>810</v>
      </c>
      <c r="J7" s="87">
        <f>Table1845[[#This Row],[Quantity Sold]]*Table1845[[#This Row],[Price]]</f>
        <v>6750</v>
      </c>
      <c r="K7" s="87">
        <f>Table1845[[#This Row],[Gross Sales]]-Table1845[[#This Row],[Total Cost]]</f>
        <v>5940</v>
      </c>
    </row>
    <row r="8" spans="2:11" x14ac:dyDescent="0.25">
      <c r="B8" s="76">
        <v>4</v>
      </c>
      <c r="C8" s="2" t="s">
        <v>13</v>
      </c>
      <c r="D8" s="4">
        <v>390</v>
      </c>
      <c r="E8" s="9">
        <v>2</v>
      </c>
      <c r="F8" s="85">
        <v>15</v>
      </c>
      <c r="G8" s="77">
        <f>Table1845[[#This Row],[Cost]]/Table1845[[#This Row],[Price]]</f>
        <v>0.13333333333333333</v>
      </c>
      <c r="H8" s="1">
        <f>Table1845[[#This Row],[Quantity Sold]]*Table1845[[#This Row],[COGs%]]</f>
        <v>52</v>
      </c>
      <c r="I8" s="84">
        <f>Table1845[[#This Row],[Quantity Sold]]*Table1845[[#This Row],[Cost]]</f>
        <v>780</v>
      </c>
      <c r="J8" s="87">
        <f>Table1845[[#This Row],[Quantity Sold]]*Table1845[[#This Row],[Price]]</f>
        <v>5850</v>
      </c>
      <c r="K8" s="87">
        <f>Table1845[[#This Row],[Gross Sales]]-Table1845[[#This Row],[Total Cost]]</f>
        <v>5070</v>
      </c>
    </row>
    <row r="9" spans="2:11" x14ac:dyDescent="0.25">
      <c r="B9" s="76">
        <v>5</v>
      </c>
      <c r="C9" s="2" t="s">
        <v>10</v>
      </c>
      <c r="D9" s="4">
        <v>330</v>
      </c>
      <c r="E9" s="9">
        <v>2.1</v>
      </c>
      <c r="F9" s="85">
        <v>15</v>
      </c>
      <c r="G9" s="77">
        <f>Table1845[[#This Row],[Cost]]/Table1845[[#This Row],[Price]]</f>
        <v>0.14000000000000001</v>
      </c>
      <c r="H9" s="1">
        <f>Table1845[[#This Row],[Quantity Sold]]*Table1845[[#This Row],[COGs%]]</f>
        <v>46.2</v>
      </c>
      <c r="I9" s="84">
        <f>Table1845[[#This Row],[Quantity Sold]]*Table1845[[#This Row],[Cost]]</f>
        <v>693</v>
      </c>
      <c r="J9" s="87">
        <f>Table1845[[#This Row],[Quantity Sold]]*Table1845[[#This Row],[Price]]</f>
        <v>4950</v>
      </c>
      <c r="K9" s="87">
        <f>Table1845[[#This Row],[Gross Sales]]-Table1845[[#This Row],[Total Cost]]</f>
        <v>4257</v>
      </c>
    </row>
    <row r="10" spans="2:11" x14ac:dyDescent="0.25">
      <c r="B10" s="76">
        <v>6</v>
      </c>
      <c r="C10" s="2" t="s">
        <v>11</v>
      </c>
      <c r="D10" s="4">
        <v>270</v>
      </c>
      <c r="E10" s="9">
        <v>2.2000000000000002</v>
      </c>
      <c r="F10" s="85">
        <v>15</v>
      </c>
      <c r="G10" s="77">
        <f>Table1845[[#This Row],[Cost]]/Table1845[[#This Row],[Price]]</f>
        <v>0.14666666666666667</v>
      </c>
      <c r="H10" s="1">
        <f>Table1845[[#This Row],[Quantity Sold]]*Table1845[[#This Row],[COGs%]]</f>
        <v>39.6</v>
      </c>
      <c r="I10" s="84">
        <f>Table1845[[#This Row],[Quantity Sold]]*Table1845[[#This Row],[Cost]]</f>
        <v>594</v>
      </c>
      <c r="J10" s="87">
        <f>Table1845[[#This Row],[Quantity Sold]]*Table1845[[#This Row],[Price]]</f>
        <v>4050</v>
      </c>
      <c r="K10" s="87">
        <f>Table1845[[#This Row],[Gross Sales]]-Table1845[[#This Row],[Total Cost]]</f>
        <v>3456</v>
      </c>
    </row>
    <row r="11" spans="2:11" x14ac:dyDescent="0.25">
      <c r="B11" s="76">
        <v>7</v>
      </c>
      <c r="C11" s="2" t="s">
        <v>12</v>
      </c>
      <c r="D11" s="4">
        <v>210</v>
      </c>
      <c r="E11" s="9">
        <v>2.25</v>
      </c>
      <c r="F11" s="85">
        <v>15</v>
      </c>
      <c r="G11" s="77">
        <f>Table1845[[#This Row],[Cost]]/Table1845[[#This Row],[Price]]</f>
        <v>0.15</v>
      </c>
      <c r="H11" s="1">
        <f>Table1845[[#This Row],[Quantity Sold]]*Table1845[[#This Row],[COGs%]]</f>
        <v>31.5</v>
      </c>
      <c r="I11" s="84">
        <f>Table1845[[#This Row],[Quantity Sold]]*Table1845[[#This Row],[Cost]]</f>
        <v>472.5</v>
      </c>
      <c r="J11" s="87">
        <f>Table1845[[#This Row],[Quantity Sold]]*Table1845[[#This Row],[Price]]</f>
        <v>3150</v>
      </c>
      <c r="K11" s="87">
        <f>Table1845[[#This Row],[Gross Sales]]-Table1845[[#This Row],[Total Cost]]</f>
        <v>2677.5</v>
      </c>
    </row>
    <row r="12" spans="2:11" x14ac:dyDescent="0.25">
      <c r="B12" s="76">
        <v>8</v>
      </c>
      <c r="C12" s="2" t="s">
        <v>14</v>
      </c>
      <c r="D12" s="4">
        <v>150</v>
      </c>
      <c r="E12" s="9">
        <v>2.5</v>
      </c>
      <c r="F12" s="85">
        <v>15</v>
      </c>
      <c r="G12" s="77">
        <f>Table1845[[#This Row],[Cost]]/Table1845[[#This Row],[Price]]</f>
        <v>0.16666666666666666</v>
      </c>
      <c r="H12" s="1">
        <f>Table1845[[#This Row],[Quantity Sold]]*Table1845[[#This Row],[COGs%]]</f>
        <v>25</v>
      </c>
      <c r="I12" s="84">
        <f>Table1845[[#This Row],[Quantity Sold]]*Table1845[[#This Row],[Cost]]</f>
        <v>375</v>
      </c>
      <c r="J12" s="87">
        <f>Table1845[[#This Row],[Quantity Sold]]*Table1845[[#This Row],[Price]]</f>
        <v>2250</v>
      </c>
      <c r="K12" s="87">
        <f>Table1845[[#This Row],[Gross Sales]]-Table1845[[#This Row],[Total Cost]]</f>
        <v>1875</v>
      </c>
    </row>
    <row r="13" spans="2:11" x14ac:dyDescent="0.25">
      <c r="B13" s="76">
        <v>9</v>
      </c>
      <c r="C13" s="2" t="s">
        <v>15</v>
      </c>
      <c r="D13" s="4">
        <v>90</v>
      </c>
      <c r="E13" s="9">
        <v>2.75</v>
      </c>
      <c r="F13" s="85">
        <v>15</v>
      </c>
      <c r="G13" s="77">
        <f>Table1845[[#This Row],[Cost]]/Table1845[[#This Row],[Price]]</f>
        <v>0.18333333333333332</v>
      </c>
      <c r="H13" s="1">
        <f>Table1845[[#This Row],[Quantity Sold]]*Table1845[[#This Row],[COGs%]]</f>
        <v>16.5</v>
      </c>
      <c r="I13" s="84">
        <f>Table1845[[#This Row],[Quantity Sold]]*Table1845[[#This Row],[Cost]]</f>
        <v>247.5</v>
      </c>
      <c r="J13" s="87">
        <f>Table1845[[#This Row],[Quantity Sold]]*Table1845[[#This Row],[Price]]</f>
        <v>1350</v>
      </c>
      <c r="K13" s="87">
        <f>Table1845[[#This Row],[Gross Sales]]-Table1845[[#This Row],[Total Cost]]</f>
        <v>1102.5</v>
      </c>
    </row>
    <row r="14" spans="2:11" ht="20" thickBot="1" x14ac:dyDescent="0.3">
      <c r="B14" s="78">
        <v>10</v>
      </c>
      <c r="C14" s="79" t="s">
        <v>9</v>
      </c>
      <c r="D14" s="4">
        <v>30</v>
      </c>
      <c r="E14" s="80">
        <v>2.9</v>
      </c>
      <c r="F14" s="86">
        <v>15</v>
      </c>
      <c r="G14" s="81">
        <f>Table1845[[#This Row],[Cost]]/Table1845[[#This Row],[Price]]</f>
        <v>0.19333333333333333</v>
      </c>
      <c r="H14" s="1">
        <f>Table1845[[#This Row],[Quantity Sold]]*Table1845[[#This Row],[COGs%]]</f>
        <v>5.8</v>
      </c>
      <c r="I14" s="84">
        <f>Table1845[[#This Row],[Quantity Sold]]*Table1845[[#This Row],[Cost]]</f>
        <v>87</v>
      </c>
      <c r="J14" s="87">
        <f>Table1845[[#This Row],[Quantity Sold]]*Table1845[[#This Row],[Price]]</f>
        <v>450</v>
      </c>
      <c r="K14" s="87">
        <f>Table1845[[#This Row],[Gross Sales]]-Table1845[[#This Row],[Total Cost]]</f>
        <v>363</v>
      </c>
    </row>
    <row r="15" spans="2:11" ht="20" hidden="1" customHeight="1" x14ac:dyDescent="0.25">
      <c r="B15" s="72"/>
      <c r="C15" s="73"/>
      <c r="D15" s="73">
        <f>SUBTOTAL(109,Table1845[Quantity Sold])</f>
        <v>3000</v>
      </c>
      <c r="E15" s="82"/>
      <c r="F15" s="73"/>
      <c r="G15" s="83"/>
      <c r="H15" s="1">
        <f>SUBTOTAL(109,Table1845[Column1])</f>
        <v>387.1</v>
      </c>
      <c r="I15" s="3"/>
      <c r="J15" s="3"/>
      <c r="K15" s="3"/>
    </row>
    <row r="16" spans="2:11" ht="20" thickBot="1" x14ac:dyDescent="0.3">
      <c r="G16" s="70">
        <f>Table1845[[#Totals],[Column1]]/Table1845[[#Totals],[Quantity Sold]]</f>
        <v>0.12903333333333333</v>
      </c>
      <c r="K16" s="89">
        <f>SUM(Table1845[[#Data],[#Totals],[Profit]])</f>
        <v>39193.5</v>
      </c>
    </row>
  </sheetData>
  <mergeCells count="1">
    <mergeCell ref="B2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SPIRITS SHEET</vt:lpstr>
      <vt:lpstr>PMIX IMPACT WORKSHEET</vt:lpstr>
      <vt:lpstr>EXAMPLE 1</vt:lpstr>
      <vt:lpstr>EXAMPLE 2</vt:lpstr>
      <vt:lpstr>EXAMPLE 3</vt:lpstr>
      <vt:lpstr>EXAMPLE 4</vt:lpstr>
      <vt:lpstr>EXAMPLE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Murphy</dc:creator>
  <cp:lastModifiedBy>Matt Merkin</cp:lastModifiedBy>
  <dcterms:created xsi:type="dcterms:W3CDTF">2025-01-28T23:26:10Z</dcterms:created>
  <dcterms:modified xsi:type="dcterms:W3CDTF">2025-03-20T20:11:58Z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eeb307-a188-4d40-bbdb-56f0cbca380c_Enabled">
    <vt:lpwstr>true</vt:lpwstr>
  </property>
  <property fmtid="{D5CDD505-2E9C-101B-9397-08002B2CF9AE}" pid="3" name="MSIP_Label_46eeb307-a188-4d40-bbdb-56f0cbca380c_SetDate">
    <vt:lpwstr>2025-03-17T15:03:24Z</vt:lpwstr>
  </property>
  <property fmtid="{D5CDD505-2E9C-101B-9397-08002B2CF9AE}" pid="4" name="MSIP_Label_46eeb307-a188-4d40-bbdb-56f0cbca380c_Method">
    <vt:lpwstr>Standard</vt:lpwstr>
  </property>
  <property fmtid="{D5CDD505-2E9C-101B-9397-08002B2CF9AE}" pid="5" name="MSIP_Label_46eeb307-a188-4d40-bbdb-56f0cbca380c_Name">
    <vt:lpwstr>Company Internal Use Only</vt:lpwstr>
  </property>
  <property fmtid="{D5CDD505-2E9C-101B-9397-08002B2CF9AE}" pid="6" name="MSIP_Label_46eeb307-a188-4d40-bbdb-56f0cbca380c_SiteId">
    <vt:lpwstr>a69fff39-07ec-41bb-952a-7c37dd42a482</vt:lpwstr>
  </property>
  <property fmtid="{D5CDD505-2E9C-101B-9397-08002B2CF9AE}" pid="7" name="MSIP_Label_46eeb307-a188-4d40-bbdb-56f0cbca380c_ActionId">
    <vt:lpwstr>e529a990-c530-4b30-bfe7-2aac32cf03ee</vt:lpwstr>
  </property>
  <property fmtid="{D5CDD505-2E9C-101B-9397-08002B2CF9AE}" pid="8" name="MSIP_Label_46eeb307-a188-4d40-bbdb-56f0cbca380c_ContentBits">
    <vt:lpwstr>0</vt:lpwstr>
  </property>
  <property fmtid="{D5CDD505-2E9C-101B-9397-08002B2CF9AE}" pid="9" name="MSIP_Label_46eeb307-a188-4d40-bbdb-56f0cbca380c_Tag">
    <vt:lpwstr>50, 3, 0, 1</vt:lpwstr>
  </property>
</Properties>
</file>